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4\"/>
    </mc:Choice>
  </mc:AlternateContent>
  <xr:revisionPtr revIDLastSave="0" documentId="13_ncr:1_{83769587-A7FB-4455-97FF-32C8CC8A547E}" xr6:coauthVersionLast="47" xr6:coauthVersionMax="47" xr10:uidLastSave="{00000000-0000-0000-0000-000000000000}"/>
  <workbookProtection lockStructure="1"/>
  <bookViews>
    <workbookView xWindow="-105" yWindow="0" windowWidth="26010" windowHeight="20985" xr2:uid="{00000000-000D-0000-FFFF-FFFF00000000}"/>
  </bookViews>
  <sheets>
    <sheet name="Schweiz" sheetId="1" r:id="rId1"/>
    <sheet name="Graubünden" sheetId="3" r:id="rId2"/>
    <sheet name="Uebersetzunge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3" l="1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D14" i="1"/>
  <c r="C14" i="1"/>
  <c r="C13" i="3"/>
  <c r="B16" i="3"/>
  <c r="A15" i="3"/>
  <c r="A10" i="3"/>
  <c r="A9" i="3"/>
  <c r="A49" i="1"/>
  <c r="A43" i="1"/>
  <c r="B16" i="1"/>
  <c r="A16" i="1"/>
  <c r="A15" i="1"/>
  <c r="C13" i="1"/>
  <c r="A10" i="1"/>
  <c r="A7" i="1"/>
  <c r="A9" i="1"/>
  <c r="A16" i="3" l="1"/>
  <c r="B45" i="3" l="1"/>
  <c r="B44" i="3"/>
  <c r="B43" i="3"/>
  <c r="B41" i="3"/>
  <c r="B42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A43" i="3"/>
  <c r="A32" i="3"/>
  <c r="A27" i="3"/>
  <c r="A22" i="3"/>
  <c r="A18" i="3"/>
  <c r="A53" i="3" l="1"/>
  <c r="A52" i="3"/>
  <c r="A50" i="3"/>
  <c r="A49" i="3"/>
  <c r="A48" i="3"/>
  <c r="A47" i="3"/>
  <c r="A7" i="3" l="1"/>
  <c r="U13" i="3"/>
  <c r="S13" i="3"/>
  <c r="Q13" i="3"/>
  <c r="O13" i="3"/>
  <c r="M13" i="3"/>
  <c r="K13" i="3"/>
  <c r="I13" i="3"/>
  <c r="G13" i="3"/>
  <c r="E13" i="3"/>
  <c r="U13" i="1" l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I14" i="1"/>
  <c r="E14" i="1"/>
  <c r="B17" i="1" l="1"/>
  <c r="A48" i="1"/>
  <c r="A44" i="1"/>
  <c r="S13" i="1"/>
  <c r="Q13" i="1"/>
  <c r="O13" i="1"/>
  <c r="M13" i="1"/>
  <c r="K13" i="1"/>
  <c r="I13" i="1"/>
  <c r="G13" i="1"/>
  <c r="E13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H14" i="1"/>
  <c r="G14" i="1"/>
  <c r="F14" i="1"/>
  <c r="A45" i="1" l="1"/>
  <c r="A46" i="1"/>
</calcChain>
</file>

<file path=xl/sharedStrings.xml><?xml version="1.0" encoding="utf-8"?>
<sst xmlns="http://schemas.openxmlformats.org/spreadsheetml/2006/main" count="547" uniqueCount="334">
  <si>
    <t>Anzahl Personen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</si>
  <si>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</si>
  <si>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</si>
  <si>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</si>
  <si>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</si>
  <si>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</si>
  <si>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</si>
  <si>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</si>
  <si>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</si>
  <si>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</si>
  <si>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</si>
  <si>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T1-2</t>
  </si>
  <si>
    <t>&lt;Titel&gt;</t>
  </si>
  <si>
    <t>&lt;UTitel&gt;</t>
  </si>
  <si>
    <t>&lt;SpaltenTitel_1&gt;</t>
  </si>
  <si>
    <t>Total</t>
  </si>
  <si>
    <t>Totale</t>
  </si>
  <si>
    <t>&lt;SpaltenTitel_2&gt;</t>
  </si>
  <si>
    <t>Erwerbspersonen</t>
  </si>
  <si>
    <t>&lt;SpaltenTitel_3&gt;</t>
  </si>
  <si>
    <t>Erwerbstätige</t>
  </si>
  <si>
    <t>&lt;SpaltenTitel_4&gt;</t>
  </si>
  <si>
    <t>Selbständige</t>
  </si>
  <si>
    <t>&lt;SpaltenTitel_5&gt;</t>
  </si>
  <si>
    <t>Mitarbeitende Familienmitglieder</t>
  </si>
  <si>
    <t>Collavuratur(a)s Commembranza(a)s</t>
  </si>
  <si>
    <t>&lt;SpaltenTitel_6&gt;</t>
  </si>
  <si>
    <t>Firmeneigentümer/-innen (AG oder GmbH)</t>
  </si>
  <si>
    <t>Proprietaris da firmas (SA u ScRL)</t>
  </si>
  <si>
    <t>&lt;SpaltenTitel_7&gt;</t>
  </si>
  <si>
    <t>Angestellte</t>
  </si>
  <si>
    <t>&lt;SpaltenTitel_8&gt;</t>
  </si>
  <si>
    <t>Lernende in der dualen beruflichen Grundbildung</t>
  </si>
  <si>
    <t>Emprendistas ed emprendists en la furmaziun fundamentala professiunala duala</t>
  </si>
  <si>
    <t>&lt;SpaltenTitel_9&gt;</t>
  </si>
  <si>
    <t>Erwerbslose</t>
  </si>
  <si>
    <t>&lt;SpaltenTitel_10&gt;</t>
  </si>
  <si>
    <t>Nichterwerbspersonen</t>
  </si>
  <si>
    <t>&lt;SpaltenTitel_1.1&gt;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</si>
  <si>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</si>
  <si>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</si>
  <si>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</si>
  <si>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</si>
  <si>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</si>
  <si>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</si>
  <si>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T1</t>
  </si>
  <si>
    <t>&lt;Zeilentitel_1&gt;</t>
  </si>
  <si>
    <t>&lt;Zeilentitel_2&gt;</t>
  </si>
  <si>
    <t>Kanton</t>
  </si>
  <si>
    <t>Chantun</t>
  </si>
  <si>
    <t>Cantone</t>
  </si>
  <si>
    <t>&lt;Zeilentitel_2.1&gt;</t>
  </si>
  <si>
    <t>Zürich</t>
  </si>
  <si>
    <t>Turitg</t>
  </si>
  <si>
    <t>Zurigo</t>
  </si>
  <si>
    <t>&lt;Zeilentitel_2.2&gt;</t>
  </si>
  <si>
    <t>Bern</t>
  </si>
  <si>
    <t>Berna</t>
  </si>
  <si>
    <t>&lt;Zeilentitel_2.3&gt;</t>
  </si>
  <si>
    <t>Luzern</t>
  </si>
  <si>
    <t>Lucerna</t>
  </si>
  <si>
    <t>&lt;Zeilentitel_2.4&gt;</t>
  </si>
  <si>
    <t>Uri</t>
  </si>
  <si>
    <t>&lt;Zeilentitel_2.5&gt;</t>
  </si>
  <si>
    <t>Schwyz</t>
  </si>
  <si>
    <t>Sviz</t>
  </si>
  <si>
    <t>Svitto</t>
  </si>
  <si>
    <t>&lt;Zeilentitel_2.6&gt;</t>
  </si>
  <si>
    <t>Obwalden</t>
  </si>
  <si>
    <t>Sursilvania</t>
  </si>
  <si>
    <t>Obvaldo</t>
  </si>
  <si>
    <t>&lt;Zeilentitel_2.7&gt;</t>
  </si>
  <si>
    <t>Nidwalden</t>
  </si>
  <si>
    <t>Sutsilvania</t>
  </si>
  <si>
    <t>Nidvaldo</t>
  </si>
  <si>
    <t>&lt;Zeilentitel_2.8&gt;</t>
  </si>
  <si>
    <t>Glarus</t>
  </si>
  <si>
    <t>Glaruna</t>
  </si>
  <si>
    <t>Glarona</t>
  </si>
  <si>
    <t>&lt;Zeilentitel_2.9&gt;</t>
  </si>
  <si>
    <t>Zug</t>
  </si>
  <si>
    <t>Zugo</t>
  </si>
  <si>
    <t>&lt;Zeilentitel_2.10&gt;</t>
  </si>
  <si>
    <t>Freiburg</t>
  </si>
  <si>
    <t>Friburg</t>
  </si>
  <si>
    <t>Friborgo</t>
  </si>
  <si>
    <t>&lt;Zeilentitel_2.11&gt;</t>
  </si>
  <si>
    <t>Solothurn</t>
  </si>
  <si>
    <t>Soloturn</t>
  </si>
  <si>
    <t>Soletta</t>
  </si>
  <si>
    <t>&lt;Zeilentitel_2.12&gt;</t>
  </si>
  <si>
    <t>Basel-Stadt</t>
  </si>
  <si>
    <t>Basilea-Citad</t>
  </si>
  <si>
    <t>Basilea Città</t>
  </si>
  <si>
    <t>&lt;Zeilentitel_2.13&gt;</t>
  </si>
  <si>
    <t>Basel-Landschaft</t>
  </si>
  <si>
    <t>Basilea-Champagna</t>
  </si>
  <si>
    <t>Basilea Campagna</t>
  </si>
  <si>
    <t>&lt;Zeilentitel_2.14&gt;</t>
  </si>
  <si>
    <t>Schaffhausen</t>
  </si>
  <si>
    <t>Schaffusa</t>
  </si>
  <si>
    <t>Sciaffusa</t>
  </si>
  <si>
    <t>&lt;Zeilentitel_2.15&gt;</t>
  </si>
  <si>
    <t>Appenzell Ausserrhoden</t>
  </si>
  <si>
    <t>Appenzell Dadora</t>
  </si>
  <si>
    <t>Appenzello Esterno</t>
  </si>
  <si>
    <t>&lt;Zeilentitel_2.16&gt;</t>
  </si>
  <si>
    <t>Appenzell Innerrhoden</t>
  </si>
  <si>
    <t>Appenzell Dadens</t>
  </si>
  <si>
    <t>Appenzello Interno</t>
  </si>
  <si>
    <t>&lt;Zeilentitel_2.17&gt;</t>
  </si>
  <si>
    <t>St. Gallen</t>
  </si>
  <si>
    <t>Son Gagl</t>
  </si>
  <si>
    <t>San Gallo</t>
  </si>
  <si>
    <t>&lt;Zeilentitel_2.18&gt;</t>
  </si>
  <si>
    <t>Graubünden</t>
  </si>
  <si>
    <t>Grischun</t>
  </si>
  <si>
    <t>Grigioni</t>
  </si>
  <si>
    <t>&lt;Zeilentitel_2.19&gt;</t>
  </si>
  <si>
    <t>Aargau</t>
  </si>
  <si>
    <t>Argovia</t>
  </si>
  <si>
    <t>&lt;Zeilentitel_2.20&gt;</t>
  </si>
  <si>
    <t>Thurgau</t>
  </si>
  <si>
    <t>Turgovia</t>
  </si>
  <si>
    <t>&lt;Zeilentitel_2.21&gt;</t>
  </si>
  <si>
    <t>Ticino</t>
  </si>
  <si>
    <t>Tessin</t>
  </si>
  <si>
    <t>&lt;Zeilentitel_2.22&gt;</t>
  </si>
  <si>
    <t>Vaud</t>
  </si>
  <si>
    <t>Vad</t>
  </si>
  <si>
    <t>&lt;Zeilentitel_2.23&gt;</t>
  </si>
  <si>
    <t>Wallis</t>
  </si>
  <si>
    <t>Vallais</t>
  </si>
  <si>
    <t>Vallese</t>
  </si>
  <si>
    <t>&lt;Zeilentitel_2.24&gt;</t>
  </si>
  <si>
    <t>Neuchâtel</t>
  </si>
  <si>
    <t>&lt;Zeilentitel_2.25&gt;</t>
  </si>
  <si>
    <t>Genève</t>
  </si>
  <si>
    <t>Genevra</t>
  </si>
  <si>
    <t>Ginevra</t>
  </si>
  <si>
    <t>&lt;Zeilentitel_2.26&gt;</t>
  </si>
  <si>
    <t>Jura</t>
  </si>
  <si>
    <t>Giura</t>
  </si>
  <si>
    <t>&lt;Legende_1&gt;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</si>
  <si>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</si>
  <si>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</si>
  <si>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</si>
  <si>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&lt;Legende_2&gt;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</si>
  <si>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</si>
  <si>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</si>
  <si>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</si>
  <si>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&lt;Legende_3&gt;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</si>
  <si>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</si>
  <si>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</si>
  <si>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</si>
  <si>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&lt;Legende_4&gt;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</si>
  <si>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</si>
  <si>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</si>
  <si>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</si>
  <si>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&lt;Legende_5&gt;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</si>
  <si>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</si>
  <si>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</si>
  <si>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</si>
  <si>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</si>
  <si>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</si>
  <si>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T2</t>
  </si>
  <si>
    <t>&lt;T2Zeilentitel_1&gt;</t>
  </si>
  <si>
    <t>&lt;T2Zeilentitel_2&gt;</t>
  </si>
  <si>
    <t>Geschlecht</t>
  </si>
  <si>
    <t>Gender</t>
  </si>
  <si>
    <t>Sesso</t>
  </si>
  <si>
    <t>&lt;T2Zeilentitel_3&gt;</t>
  </si>
  <si>
    <t>Alter</t>
  </si>
  <si>
    <t>Vegliadetgna</t>
  </si>
  <si>
    <t>Età</t>
  </si>
  <si>
    <t>&lt;T2Zeilentitel_4&gt;</t>
  </si>
  <si>
    <t>Staatsangehörigkeit</t>
  </si>
  <si>
    <t>Naziunalitad</t>
  </si>
  <si>
    <t>&lt;T2Zeilentitel_5&gt;</t>
  </si>
  <si>
    <t>Migrationsstatus</t>
  </si>
  <si>
    <t>Status da migraziun</t>
  </si>
  <si>
    <t>&lt;T2Zeilentitel_6&gt;</t>
  </si>
  <si>
    <t>Sozioprofessionelle Kategorien</t>
  </si>
  <si>
    <t>Categorias socioprofessiunalas</t>
  </si>
  <si>
    <t>&lt;T2Zeilentitel_7&gt;</t>
  </si>
  <si>
    <t>Höchste abgeschlossene Ausbildung</t>
  </si>
  <si>
    <t>La pli auta scolaziun terminada</t>
  </si>
  <si>
    <t>&lt;T2Zeilentitel_2.1&gt;</t>
  </si>
  <si>
    <t>Männer</t>
  </si>
  <si>
    <t>Umens</t>
  </si>
  <si>
    <t>&lt;T2Zeilentitel_2.2&gt;</t>
  </si>
  <si>
    <t>Frauen</t>
  </si>
  <si>
    <t>Dunnas</t>
  </si>
  <si>
    <t>&lt;T2Zeilentitel_3.1&gt;</t>
  </si>
  <si>
    <t>15-24</t>
  </si>
  <si>
    <t>&lt;T2Zeilentitel_3.2&gt;</t>
  </si>
  <si>
    <t>25-44</t>
  </si>
  <si>
    <t>&lt;T2Zeilentitel_3.3&gt;</t>
  </si>
  <si>
    <t>45-64</t>
  </si>
  <si>
    <t>&lt;T2Zeilentitel_3.4&gt;</t>
  </si>
  <si>
    <t>65 und mehr</t>
  </si>
  <si>
    <t>65 e dapli</t>
  </si>
  <si>
    <t>&lt;T2Zeilentitel_4.1&gt;</t>
  </si>
  <si>
    <t>Schweiz</t>
  </si>
  <si>
    <t>Svizra</t>
  </si>
  <si>
    <t>&lt;T2Zeilentitel_4.2&gt;</t>
  </si>
  <si>
    <t>&lt;T2Zeilentitel_4.3&gt;</t>
  </si>
  <si>
    <t>Andere europäische Staaten</t>
  </si>
  <si>
    <t>Auters stadis europeics</t>
  </si>
  <si>
    <t>&lt;T2Zeilentitel_4.4&gt;</t>
  </si>
  <si>
    <t>Andere Staaten</t>
  </si>
  <si>
    <t>Auters stadis</t>
  </si>
  <si>
    <t>&lt;T2Zeilentitel_4.5&gt;</t>
  </si>
  <si>
    <t>Staatsangehörigkeit unbekannt</t>
  </si>
  <si>
    <t>Naziunalitad n'è betg enconuschenta</t>
  </si>
  <si>
    <t>&lt;T2Zeilentitel_5.1&gt;</t>
  </si>
  <si>
    <t>Schweizer/innen ohne Migrationshintergrund</t>
  </si>
  <si>
    <t>Svizzers senza retroterra da migraziun</t>
  </si>
  <si>
    <t>&lt;T2Zeilentitel_5.2&gt;</t>
  </si>
  <si>
    <t>Schweizer/innen mit Migrationshintergrund</t>
  </si>
  <si>
    <t>Svizzers cun ina migraziun</t>
  </si>
  <si>
    <t>&lt;T2Zeilentitel_5.3&gt;</t>
  </si>
  <si>
    <t>Ausländer/innen der ersten Generation</t>
  </si>
  <si>
    <t>Persunas estras da l'emprima generaziun</t>
  </si>
  <si>
    <t>&lt;T2Zeilentitel_5.4&gt;</t>
  </si>
  <si>
    <t>Ausländer/innen der zweiten und höheren Generation</t>
  </si>
  <si>
    <t>Persunas estras da la segunda generaziun e da l'emprima</t>
  </si>
  <si>
    <t>&lt;T2Zeilentitel_5.5&gt;</t>
  </si>
  <si>
    <t>Migrationshintergrund unbekannt</t>
  </si>
  <si>
    <t>La migraziun n'è betg enconuschenta</t>
  </si>
  <si>
    <t>&lt;T2Zeilentitel_6.1&gt;</t>
  </si>
  <si>
    <t>Oberstes Management</t>
  </si>
  <si>
    <t>Management suprem</t>
  </si>
  <si>
    <t>&lt;T2Zeilentitel_6.2&gt;</t>
  </si>
  <si>
    <t>Freie und gleichgestellte Berufe</t>
  </si>
  <si>
    <t>Professiuns libras ed egualas</t>
  </si>
  <si>
    <t>&lt;T2Zeilentitel_6.3&gt;</t>
  </si>
  <si>
    <t>Andere Selbstständige</t>
  </si>
  <si>
    <t>Autras persunas independentas</t>
  </si>
  <si>
    <t>&lt;T2Zeilentitel_6.4&gt;</t>
  </si>
  <si>
    <t>Akademische Berufe und oberes Kader</t>
  </si>
  <si>
    <t>Professiuns academicas e cader superiur</t>
  </si>
  <si>
    <t>&lt;T2Zeilentitel_6.5&gt;</t>
  </si>
  <si>
    <t>Intermediäre Berufe</t>
  </si>
  <si>
    <t>Professiuns intermediaras</t>
  </si>
  <si>
    <t>&lt;T2Zeilentitel_6.6&gt;</t>
  </si>
  <si>
    <t>Qualifizierte nichtmanuelle Berufe</t>
  </si>
  <si>
    <t>Professiuns betg manualas qualifitgadas</t>
  </si>
  <si>
    <t>&lt;T2Zeilentitel_6.7&gt;</t>
  </si>
  <si>
    <t>Qualifizierte manuelle Berufe</t>
  </si>
  <si>
    <t>Professiuns manualas qualifitgadas</t>
  </si>
  <si>
    <t>&lt;T2Zeilentitel_6.8&gt;</t>
  </si>
  <si>
    <t>Ungelernte Angestellte und Arbeiter</t>
  </si>
  <si>
    <t>Emploiads e lavurants betg emprendids</t>
  </si>
  <si>
    <t>&lt;T2Zeilentitel_6.9&gt;</t>
  </si>
  <si>
    <t>Lernende in dualer beruflicher Grundbildung (Lehrlinge)</t>
  </si>
  <si>
    <t>Emprendistas ed emprendists en ina furmaziun fundamentala professiunala dubla (emprendists)</t>
  </si>
  <si>
    <t>&lt;T2Zeilentitel_6.10&gt;</t>
  </si>
  <si>
    <t>Nicht zuteilbare Erwerbstätige (fehlende oder unklare Basisdaten oder unplausible Kombination)</t>
  </si>
  <si>
    <t>Persunas cun activitad da gudogn che n'èn betg attribuiblas (datas da basa mancantas u betg cleras u ina cumbinaziun inclausibla)</t>
  </si>
  <si>
    <t>&lt;T2Zeilentitel_6.11&gt;</t>
  </si>
  <si>
    <t>Erwerbslose und Nichterwerbspersonen</t>
  </si>
  <si>
    <t>Persunas senza activitad da gudogn e persunas senza activitad da gudogn</t>
  </si>
  <si>
    <t>&lt;T2Zeilentitel_7.1&gt;</t>
  </si>
  <si>
    <t>Obligatorische Schule</t>
  </si>
  <si>
    <t>Scola obligatorica</t>
  </si>
  <si>
    <t>&lt;T2Zeilentitel_7.2&gt;</t>
  </si>
  <si>
    <t>Sekundarstufe II</t>
  </si>
  <si>
    <t>Stgalim secundar II</t>
  </si>
  <si>
    <t>&lt;T2Zeilentitel_7.3&gt;</t>
  </si>
  <si>
    <t>Tertiärstufe</t>
  </si>
  <si>
    <t>Stgalim terziar</t>
  </si>
  <si>
    <t>&lt;T2Aktualisierung&gt;</t>
  </si>
  <si>
    <t>Erwerbsstatus nach Kanton</t>
  </si>
  <si>
    <t>Erwerbsstatus im Kanton Graubünden</t>
  </si>
  <si>
    <t>&lt;T2Titel&gt;</t>
  </si>
  <si>
    <t>Condizione professionale secondo il Cantone</t>
  </si>
  <si>
    <t>Persunas cun gudogn</t>
  </si>
  <si>
    <t>Persunas cun activitad da gudogn</t>
  </si>
  <si>
    <t>Independent</t>
  </si>
  <si>
    <t>Emploiada</t>
  </si>
  <si>
    <t>Persunas senza activitad da gudogn</t>
  </si>
  <si>
    <t>Persone attive</t>
  </si>
  <si>
    <t>Occupati</t>
  </si>
  <si>
    <t>Indipendenti</t>
  </si>
  <si>
    <t>Coadiuvanti nell'agenzia di famiglia</t>
  </si>
  <si>
    <t>Titolari dell'impresa (SA o Sagl)</t>
  </si>
  <si>
    <t>Collaboratori</t>
  </si>
  <si>
    <t>Persone in formazione professionale di base duale</t>
  </si>
  <si>
    <t>Disoccupati</t>
  </si>
  <si>
    <t>Persone senza attività professionale</t>
  </si>
  <si>
    <t>Cittadinanza</t>
  </si>
  <si>
    <t>Passato migratorio</t>
  </si>
  <si>
    <t>Categorie socio-professionali</t>
  </si>
  <si>
    <t>Formazione più elevata conclusa</t>
  </si>
  <si>
    <t>Uomini</t>
  </si>
  <si>
    <t>Donne</t>
  </si>
  <si>
    <t>65 e più</t>
  </si>
  <si>
    <t>Svizzera</t>
  </si>
  <si>
    <t>UE e AELS</t>
  </si>
  <si>
    <t>Altro paese europeo</t>
  </si>
  <si>
    <t>Paese extraeuropeo</t>
  </si>
  <si>
    <t>Cittadinanza sconosciuta</t>
  </si>
  <si>
    <t>Svizzeri/e senza un passato migratorio</t>
  </si>
  <si>
    <t>Svizzeri/e con un passato migratorio</t>
  </si>
  <si>
    <t>Stranieri/e di prima generazione</t>
  </si>
  <si>
    <t>Stranieri/e di seconda generazione e più</t>
  </si>
  <si>
    <t>Passato migratorio sconosciuto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</si>
  <si>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</si>
  <si>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</si>
  <si>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</si>
  <si>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</si>
  <si>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</si>
  <si>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</si>
  <si>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</si>
  <si>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</si>
  <si>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</si>
  <si>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</si>
  <si>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</si>
  <si>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</si>
  <si>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</si>
  <si>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</si>
  <si>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Status d'engaschament tenor il chantun</t>
  </si>
  <si>
    <t>Status d'engaschament en il chantun Grischun</t>
  </si>
  <si>
    <t>Condizione professionale nel Cantone dei Grigioni</t>
  </si>
  <si>
    <t>EU und EFTA</t>
  </si>
  <si>
    <t>UE ed AECL</t>
  </si>
  <si>
    <t>Letztmals aktualisiert am: 29.01.2026</t>
  </si>
  <si>
    <t>Ultima actualisaziun: 29.01.2026</t>
  </si>
  <si>
    <t>Ulimo aggiornamento: 29.01.2026</t>
  </si>
  <si>
    <t>X</t>
  </si>
  <si>
    <t>Ständige Wohnbevölkerung ab 15 Jahren</t>
  </si>
  <si>
    <t>Populaziun residenta permanenta a partir da 15 onns</t>
  </si>
  <si>
    <t>Popolazione residente permanente di 15 anni e più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</si>
</sst>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\(#\'##0\)"/>
    <numFmt numFmtId="171" formatCode="\(##0\)"/>
    <numFmt numFmtId="172" formatCode="* #,###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sz val="10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50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3" applyFont="1" applyFill="1" applyAlignment="1">
      <alignment horizontal="left" vertical="top"/>
    </xf>
    <xf numFmtId="164" fontId="8" fillId="2" borderId="0" xfId="4" applyNumberFormat="1" applyFont="1" applyFill="1" applyBorder="1" applyAlignment="1" applyProtection="1">
      <alignment horizontal="left" vertical="top"/>
    </xf>
    <xf numFmtId="0" fontId="9" fillId="2" borderId="0" xfId="3" applyFont="1" applyFill="1" applyAlignment="1">
      <alignment horizontal="right" vertical="center"/>
    </xf>
    <xf numFmtId="0" fontId="3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3" fontId="4" fillId="2" borderId="0" xfId="1" applyNumberFormat="1" applyFont="1" applyFill="1" applyBorder="1" applyAlignment="1" applyProtection="1">
      <alignment horizontal="right" wrapText="1"/>
    </xf>
    <xf numFmtId="165" fontId="4" fillId="2" borderId="0" xfId="2" applyNumberFormat="1" applyFont="1" applyFill="1" applyBorder="1" applyAlignment="1" applyProtection="1">
      <alignment horizontal="right" wrapText="1"/>
    </xf>
    <xf numFmtId="166" fontId="4" fillId="2" borderId="0" xfId="1" applyNumberFormat="1" applyFont="1" applyFill="1" applyBorder="1" applyAlignment="1" applyProtection="1">
      <alignment horizontal="right" wrapText="1"/>
    </xf>
    <xf numFmtId="165" fontId="4" fillId="2" borderId="0" xfId="1" applyNumberFormat="1" applyFont="1" applyFill="1" applyBorder="1" applyAlignment="1" applyProtection="1">
      <alignment horizontal="right" wrapText="1"/>
    </xf>
    <xf numFmtId="0" fontId="11" fillId="4" borderId="0" xfId="0" applyFont="1" applyFill="1" applyAlignment="1">
      <alignment horizontal="left" vertical="top"/>
    </xf>
    <xf numFmtId="0" fontId="10" fillId="2" borderId="3" xfId="0" applyFont="1" applyFill="1" applyBorder="1" applyAlignment="1">
      <alignment horizontal="left" vertical="top" wrapText="1"/>
    </xf>
    <xf numFmtId="3" fontId="4" fillId="2" borderId="5" xfId="6" applyNumberFormat="1" applyFont="1" applyFill="1" applyBorder="1" applyAlignment="1" applyProtection="1">
      <alignment horizontal="right" vertical="center" wrapText="1"/>
    </xf>
    <xf numFmtId="0" fontId="7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vertical="top" wrapText="1"/>
    </xf>
    <xf numFmtId="3" fontId="4" fillId="2" borderId="6" xfId="6" applyNumberFormat="1" applyFont="1" applyFill="1" applyBorder="1" applyAlignment="1" applyProtection="1">
      <alignment horizontal="left" vertical="center" wrapText="1"/>
    </xf>
    <xf numFmtId="3" fontId="4" fillId="3" borderId="6" xfId="6" applyNumberFormat="1" applyFont="1" applyFill="1" applyBorder="1" applyAlignment="1" applyProtection="1">
      <alignment horizontal="left" vertical="center" wrapText="1"/>
    </xf>
    <xf numFmtId="0" fontId="2" fillId="2" borderId="0" xfId="0" applyFont="1" applyFill="1"/>
    <xf numFmtId="0" fontId="2" fillId="0" borderId="0" xfId="0" applyFont="1"/>
    <xf numFmtId="0" fontId="2" fillId="8" borderId="0" xfId="0" applyFont="1" applyFill="1"/>
    <xf numFmtId="3" fontId="4" fillId="2" borderId="13" xfId="6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/>
    <xf numFmtId="0" fontId="10" fillId="0" borderId="12" xfId="0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 wrapText="1"/>
    </xf>
    <xf numFmtId="0" fontId="4" fillId="0" borderId="0" xfId="0" applyFont="1" applyBorder="1"/>
    <xf numFmtId="0" fontId="10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8" fillId="2" borderId="0" xfId="3" applyFont="1" applyFill="1" applyBorder="1" applyAlignment="1">
      <alignment horizontal="left" vertical="top"/>
    </xf>
    <xf numFmtId="0" fontId="11" fillId="2" borderId="9" xfId="2" applyNumberFormat="1" applyFont="1" applyFill="1" applyBorder="1" applyAlignment="1" applyProtection="1">
      <alignment horizontal="right" vertical="top" wrapText="1"/>
    </xf>
    <xf numFmtId="170" fontId="4" fillId="2" borderId="5" xfId="6" applyNumberFormat="1" applyFont="1" applyFill="1" applyBorder="1" applyAlignment="1" applyProtection="1">
      <alignment horizontal="right" vertical="center" wrapText="1"/>
    </xf>
    <xf numFmtId="171" fontId="4" fillId="2" borderId="5" xfId="6" applyNumberFormat="1" applyFont="1" applyFill="1" applyBorder="1" applyAlignment="1" applyProtection="1">
      <alignment horizontal="right" vertical="center" wrapText="1"/>
    </xf>
    <xf numFmtId="0" fontId="11" fillId="2" borderId="2" xfId="2" applyNumberFormat="1" applyFont="1" applyFill="1" applyBorder="1" applyAlignment="1" applyProtection="1">
      <alignment horizontal="right" vertical="top" wrapText="1"/>
    </xf>
    <xf numFmtId="3" fontId="4" fillId="2" borderId="10" xfId="6" applyNumberFormat="1" applyFont="1" applyFill="1" applyBorder="1" applyAlignment="1" applyProtection="1">
      <alignment horizontal="right" vertical="center" wrapText="1"/>
    </xf>
    <xf numFmtId="3" fontId="14" fillId="2" borderId="5" xfId="6" applyNumberFormat="1" applyFont="1" applyFill="1" applyBorder="1" applyAlignment="1" applyProtection="1">
      <alignment horizontal="right" vertical="center" wrapText="1"/>
    </xf>
    <xf numFmtId="167" fontId="4" fillId="2" borderId="1" xfId="6" applyNumberFormat="1" applyFont="1" applyFill="1" applyBorder="1" applyAlignment="1" applyProtection="1">
      <alignment horizontal="right" vertical="center" wrapText="1"/>
    </xf>
    <xf numFmtId="0" fontId="10" fillId="0" borderId="24" xfId="0" applyFont="1" applyBorder="1" applyAlignment="1">
      <alignment vertical="center"/>
    </xf>
    <xf numFmtId="167" fontId="12" fillId="2" borderId="4" xfId="6" applyNumberFormat="1" applyFont="1" applyFill="1" applyBorder="1" applyAlignment="1" applyProtection="1">
      <alignment horizontal="right" vertical="center" wrapText="1"/>
    </xf>
    <xf numFmtId="172" fontId="12" fillId="2" borderId="4" xfId="6" applyNumberFormat="1" applyFont="1" applyFill="1" applyBorder="1" applyAlignment="1" applyProtection="1">
      <alignment horizontal="right" vertical="center" wrapText="1"/>
    </xf>
    <xf numFmtId="167" fontId="4" fillId="2" borderId="0" xfId="6" applyNumberFormat="1" applyFont="1" applyFill="1" applyBorder="1" applyAlignment="1" applyProtection="1">
      <alignment horizontal="right" vertical="center" wrapText="1"/>
    </xf>
    <xf numFmtId="3" fontId="4" fillId="2" borderId="0" xfId="6" applyNumberFormat="1" applyFont="1" applyFill="1" applyBorder="1" applyAlignment="1" applyProtection="1">
      <alignment horizontal="right" vertical="center" wrapText="1"/>
    </xf>
    <xf numFmtId="170" fontId="4" fillId="2" borderId="0" xfId="6" applyNumberFormat="1" applyFont="1" applyFill="1" applyBorder="1" applyAlignment="1" applyProtection="1">
      <alignment horizontal="right" vertical="center" wrapText="1"/>
    </xf>
    <xf numFmtId="168" fontId="4" fillId="2" borderId="0" xfId="6" applyNumberFormat="1" applyFont="1" applyFill="1" applyBorder="1" applyAlignment="1" applyProtection="1">
      <alignment horizontal="right" vertical="center" wrapText="1"/>
    </xf>
    <xf numFmtId="171" fontId="4" fillId="2" borderId="0" xfId="6" applyNumberFormat="1" applyFont="1" applyFill="1" applyBorder="1" applyAlignment="1" applyProtection="1">
      <alignment horizontal="right" vertical="center" wrapText="1"/>
    </xf>
    <xf numFmtId="3" fontId="4" fillId="2" borderId="1" xfId="6" applyNumberFormat="1" applyFont="1" applyFill="1" applyBorder="1" applyAlignment="1" applyProtection="1">
      <alignment horizontal="right" vertical="center" wrapText="1"/>
    </xf>
    <xf numFmtId="171" fontId="4" fillId="2" borderId="1" xfId="6" applyNumberFormat="1" applyFont="1" applyFill="1" applyBorder="1" applyAlignment="1" applyProtection="1">
      <alignment horizontal="right" vertical="center" wrapText="1"/>
    </xf>
    <xf numFmtId="168" fontId="4" fillId="2" borderId="1" xfId="6" applyNumberFormat="1" applyFont="1" applyFill="1" applyBorder="1" applyAlignment="1" applyProtection="1">
      <alignment horizontal="right" vertical="center" wrapText="1"/>
    </xf>
    <xf numFmtId="170" fontId="4" fillId="2" borderId="1" xfId="6" applyNumberFormat="1" applyFont="1" applyFill="1" applyBorder="1" applyAlignment="1" applyProtection="1">
      <alignment horizontal="right" vertical="center" wrapText="1"/>
    </xf>
    <xf numFmtId="167" fontId="4" fillId="3" borderId="0" xfId="6" applyNumberFormat="1" applyFont="1" applyFill="1" applyBorder="1" applyAlignment="1" applyProtection="1">
      <alignment horizontal="right" vertical="center" wrapText="1"/>
    </xf>
    <xf numFmtId="3" fontId="4" fillId="3" borderId="0" xfId="6" applyNumberFormat="1" applyFont="1" applyFill="1" applyBorder="1" applyAlignment="1" applyProtection="1">
      <alignment horizontal="right" vertical="center" wrapText="1"/>
    </xf>
    <xf numFmtId="0" fontId="11" fillId="2" borderId="25" xfId="2" applyNumberFormat="1" applyFont="1" applyFill="1" applyBorder="1" applyAlignment="1" applyProtection="1">
      <alignment horizontal="right" vertical="top" wrapText="1"/>
    </xf>
    <xf numFmtId="172" fontId="12" fillId="2" borderId="26" xfId="6" applyNumberFormat="1" applyFont="1" applyFill="1" applyBorder="1" applyAlignment="1" applyProtection="1">
      <alignment horizontal="right" vertical="center" wrapText="1"/>
    </xf>
    <xf numFmtId="167" fontId="12" fillId="2" borderId="27" xfId="6" applyNumberFormat="1" applyFont="1" applyFill="1" applyBorder="1" applyAlignment="1" applyProtection="1">
      <alignment horizontal="right" vertical="center" wrapText="1"/>
    </xf>
    <xf numFmtId="167" fontId="4" fillId="2" borderId="25" xfId="6" applyNumberFormat="1" applyFont="1" applyFill="1" applyBorder="1" applyAlignment="1" applyProtection="1">
      <alignment horizontal="right" vertical="center" wrapText="1"/>
    </xf>
    <xf numFmtId="3" fontId="4" fillId="3" borderId="5" xfId="6" applyNumberFormat="1" applyFont="1" applyFill="1" applyBorder="1" applyAlignment="1" applyProtection="1">
      <alignment horizontal="right" vertical="center" wrapText="1"/>
    </xf>
    <xf numFmtId="167" fontId="4" fillId="3" borderId="25" xfId="6" applyNumberFormat="1" applyFont="1" applyFill="1" applyBorder="1" applyAlignment="1" applyProtection="1">
      <alignment horizontal="right" vertical="center" wrapText="1"/>
    </xf>
    <xf numFmtId="3" fontId="4" fillId="2" borderId="22" xfId="6" applyNumberFormat="1" applyFont="1" applyFill="1" applyBorder="1" applyAlignment="1" applyProtection="1">
      <alignment horizontal="right" vertical="center" wrapText="1"/>
    </xf>
    <xf numFmtId="167" fontId="4" fillId="2" borderId="28" xfId="6" applyNumberFormat="1" applyFont="1" applyFill="1" applyBorder="1" applyAlignment="1" applyProtection="1">
      <alignment horizontal="right" vertical="center" wrapText="1"/>
    </xf>
    <xf numFmtId="0" fontId="11" fillId="2" borderId="29" xfId="1" applyNumberFormat="1" applyFont="1" applyFill="1" applyBorder="1" applyAlignment="1" applyProtection="1">
      <alignment horizontal="right" vertical="top" wrapText="1"/>
    </xf>
    <xf numFmtId="0" fontId="11" fillId="2" borderId="30" xfId="1" applyNumberFormat="1" applyFont="1" applyFill="1" applyBorder="1" applyAlignment="1" applyProtection="1">
      <alignment horizontal="right" vertical="top" wrapText="1"/>
    </xf>
    <xf numFmtId="0" fontId="11" fillId="2" borderId="5" xfId="1" applyNumberFormat="1" applyFont="1" applyFill="1" applyBorder="1" applyAlignment="1" applyProtection="1">
      <alignment horizontal="right" vertical="top" wrapText="1"/>
    </xf>
    <xf numFmtId="168" fontId="4" fillId="2" borderId="25" xfId="6" applyNumberFormat="1" applyFont="1" applyFill="1" applyBorder="1" applyAlignment="1" applyProtection="1">
      <alignment horizontal="right" vertical="center" wrapText="1"/>
    </xf>
    <xf numFmtId="168" fontId="4" fillId="2" borderId="28" xfId="6" applyNumberFormat="1" applyFont="1" applyFill="1" applyBorder="1" applyAlignment="1" applyProtection="1">
      <alignment horizontal="right" vertical="center" wrapText="1"/>
    </xf>
    <xf numFmtId="167" fontId="12" fillId="2" borderId="35" xfId="6" applyNumberFormat="1" applyFont="1" applyFill="1" applyBorder="1" applyAlignment="1" applyProtection="1">
      <alignment horizontal="right" vertical="center" wrapText="1"/>
    </xf>
    <xf numFmtId="167" fontId="4" fillId="2" borderId="36" xfId="6" applyNumberFormat="1" applyFont="1" applyFill="1" applyBorder="1" applyAlignment="1" applyProtection="1">
      <alignment horizontal="right" vertical="center" wrapText="1"/>
    </xf>
    <xf numFmtId="167" fontId="4" fillId="3" borderId="36" xfId="6" applyNumberFormat="1" applyFont="1" applyFill="1" applyBorder="1" applyAlignment="1" applyProtection="1">
      <alignment horizontal="right" vertical="center" wrapText="1"/>
    </xf>
    <xf numFmtId="167" fontId="4" fillId="2" borderId="37" xfId="6" applyNumberFormat="1" applyFont="1" applyFill="1" applyBorder="1" applyAlignment="1" applyProtection="1">
      <alignment horizontal="right" vertical="center" wrapText="1"/>
    </xf>
    <xf numFmtId="172" fontId="12" fillId="2" borderId="21" xfId="6" applyNumberFormat="1" applyFont="1" applyFill="1" applyBorder="1" applyAlignment="1" applyProtection="1">
      <alignment horizontal="right" vertical="center" wrapText="1"/>
    </xf>
    <xf numFmtId="167" fontId="12" fillId="2" borderId="32" xfId="6" applyNumberFormat="1" applyFont="1" applyFill="1" applyBorder="1" applyAlignment="1" applyProtection="1">
      <alignment horizontal="right" vertical="center" wrapText="1"/>
    </xf>
    <xf numFmtId="172" fontId="12" fillId="2" borderId="24" xfId="6" applyNumberFormat="1" applyFont="1" applyFill="1" applyBorder="1" applyAlignment="1" applyProtection="1">
      <alignment horizontal="right" vertical="center" wrapText="1"/>
    </xf>
    <xf numFmtId="167" fontId="12" fillId="2" borderId="24" xfId="6" applyNumberFormat="1" applyFont="1" applyFill="1" applyBorder="1" applyAlignment="1" applyProtection="1">
      <alignment horizontal="right" vertical="center" wrapText="1"/>
    </xf>
    <xf numFmtId="167" fontId="12" fillId="2" borderId="38" xfId="6" applyNumberFormat="1" applyFont="1" applyFill="1" applyBorder="1" applyAlignment="1" applyProtection="1">
      <alignment horizontal="right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167" fontId="14" fillId="2" borderId="0" xfId="6" applyNumberFormat="1" applyFont="1" applyFill="1" applyBorder="1" applyAlignment="1" applyProtection="1">
      <alignment horizontal="right" vertical="center" wrapText="1"/>
    </xf>
    <xf numFmtId="0" fontId="11" fillId="2" borderId="40" xfId="1" applyNumberFormat="1" applyFont="1" applyFill="1" applyBorder="1" applyAlignment="1" applyProtection="1">
      <alignment horizontal="right" vertical="top" wrapText="1"/>
    </xf>
    <xf numFmtId="0" fontId="11" fillId="2" borderId="41" xfId="2" applyNumberFormat="1" applyFont="1" applyFill="1" applyBorder="1" applyAlignment="1" applyProtection="1">
      <alignment horizontal="right" vertical="top" wrapText="1"/>
    </xf>
    <xf numFmtId="0" fontId="11" fillId="2" borderId="23" xfId="1" applyNumberFormat="1" applyFont="1" applyFill="1" applyBorder="1" applyAlignment="1" applyProtection="1">
      <alignment horizontal="right" vertical="top" wrapText="1"/>
    </xf>
    <xf numFmtId="0" fontId="11" fillId="2" borderId="32" xfId="2" applyNumberFormat="1" applyFont="1" applyFill="1" applyBorder="1" applyAlignment="1" applyProtection="1">
      <alignment horizontal="right" vertical="top" wrapText="1"/>
    </xf>
    <xf numFmtId="0" fontId="11" fillId="2" borderId="21" xfId="1" applyNumberFormat="1" applyFont="1" applyFill="1" applyBorder="1" applyAlignment="1" applyProtection="1">
      <alignment horizontal="right" vertical="top" wrapText="1"/>
    </xf>
    <xf numFmtId="0" fontId="11" fillId="2" borderId="23" xfId="2" applyNumberFormat="1" applyFont="1" applyFill="1" applyBorder="1" applyAlignment="1" applyProtection="1">
      <alignment horizontal="right" vertical="top" wrapText="1"/>
    </xf>
    <xf numFmtId="171" fontId="4" fillId="2" borderId="22" xfId="6" applyNumberFormat="1" applyFont="1" applyFill="1" applyBorder="1" applyAlignment="1" applyProtection="1">
      <alignment horizontal="right" vertical="center" wrapText="1"/>
    </xf>
    <xf numFmtId="0" fontId="11" fillId="2" borderId="38" xfId="2" applyNumberFormat="1" applyFont="1" applyFill="1" applyBorder="1" applyAlignment="1" applyProtection="1">
      <alignment horizontal="right" vertical="top" wrapText="1"/>
    </xf>
    <xf numFmtId="168" fontId="4" fillId="2" borderId="36" xfId="6" applyNumberFormat="1" applyFont="1" applyFill="1" applyBorder="1" applyAlignment="1" applyProtection="1">
      <alignment horizontal="right" vertical="center" wrapText="1"/>
    </xf>
    <xf numFmtId="167" fontId="14" fillId="2" borderId="36" xfId="6" applyNumberFormat="1" applyFont="1" applyFill="1" applyBorder="1" applyAlignment="1" applyProtection="1">
      <alignment horizontal="right" vertical="center" wrapText="1"/>
    </xf>
    <xf numFmtId="3" fontId="4" fillId="2" borderId="26" xfId="6" applyNumberFormat="1" applyFont="1" applyFill="1" applyBorder="1" applyAlignment="1" applyProtection="1">
      <alignment horizontal="right" vertical="center" wrapText="1"/>
    </xf>
    <xf numFmtId="167" fontId="4" fillId="2" borderId="27" xfId="6" applyNumberFormat="1" applyFont="1" applyFill="1" applyBorder="1" applyAlignment="1" applyProtection="1">
      <alignment horizontal="right" vertical="center" wrapText="1"/>
    </xf>
    <xf numFmtId="3" fontId="4" fillId="2" borderId="4" xfId="6" applyNumberFormat="1" applyFont="1" applyFill="1" applyBorder="1" applyAlignment="1" applyProtection="1">
      <alignment horizontal="right" vertical="center" wrapText="1"/>
    </xf>
    <xf numFmtId="167" fontId="4" fillId="2" borderId="4" xfId="6" applyNumberFormat="1" applyFont="1" applyFill="1" applyBorder="1" applyAlignment="1" applyProtection="1">
      <alignment horizontal="right" vertical="center" wrapText="1"/>
    </xf>
    <xf numFmtId="170" fontId="4" fillId="2" borderId="4" xfId="6" applyNumberFormat="1" applyFont="1" applyFill="1" applyBorder="1" applyAlignment="1" applyProtection="1">
      <alignment horizontal="right" vertical="center" wrapText="1"/>
    </xf>
    <xf numFmtId="168" fontId="4" fillId="2" borderId="27" xfId="6" applyNumberFormat="1" applyFont="1" applyFill="1" applyBorder="1" applyAlignment="1" applyProtection="1">
      <alignment horizontal="right" vertical="center" wrapText="1"/>
    </xf>
    <xf numFmtId="170" fontId="4" fillId="2" borderId="26" xfId="6" applyNumberFormat="1" applyFont="1" applyFill="1" applyBorder="1" applyAlignment="1" applyProtection="1">
      <alignment horizontal="right" vertical="center" wrapText="1"/>
    </xf>
    <xf numFmtId="168" fontId="4" fillId="2" borderId="4" xfId="6" applyNumberFormat="1" applyFont="1" applyFill="1" applyBorder="1" applyAlignment="1" applyProtection="1">
      <alignment horizontal="right" vertical="center" wrapText="1"/>
    </xf>
    <xf numFmtId="167" fontId="4" fillId="2" borderId="35" xfId="6" applyNumberFormat="1" applyFont="1" applyFill="1" applyBorder="1" applyAlignment="1" applyProtection="1">
      <alignment horizontal="right" vertical="center" wrapText="1"/>
    </xf>
    <xf numFmtId="167" fontId="4" fillId="2" borderId="41" xfId="6" applyNumberFormat="1" applyFont="1" applyFill="1" applyBorder="1" applyAlignment="1" applyProtection="1">
      <alignment horizontal="right" vertical="center" wrapText="1"/>
    </xf>
    <xf numFmtId="3" fontId="4" fillId="2" borderId="23" xfId="6" applyNumberFormat="1" applyFont="1" applyFill="1" applyBorder="1" applyAlignment="1" applyProtection="1">
      <alignment horizontal="right" vertical="center" wrapText="1"/>
    </xf>
    <xf numFmtId="167" fontId="4" fillId="2" borderId="23" xfId="6" applyNumberFormat="1" applyFont="1" applyFill="1" applyBorder="1" applyAlignment="1" applyProtection="1">
      <alignment horizontal="right" vertical="center" wrapText="1"/>
    </xf>
    <xf numFmtId="170" fontId="4" fillId="2" borderId="23" xfId="6" applyNumberFormat="1" applyFont="1" applyFill="1" applyBorder="1" applyAlignment="1" applyProtection="1">
      <alignment horizontal="right" vertical="center" wrapText="1"/>
    </xf>
    <xf numFmtId="168" fontId="4" fillId="2" borderId="41" xfId="6" applyNumberFormat="1" applyFont="1" applyFill="1" applyBorder="1" applyAlignment="1" applyProtection="1">
      <alignment horizontal="right" vertical="center" wrapText="1"/>
    </xf>
    <xf numFmtId="171" fontId="4" fillId="2" borderId="10" xfId="6" applyNumberFormat="1" applyFont="1" applyFill="1" applyBorder="1" applyAlignment="1" applyProtection="1">
      <alignment horizontal="right" vertical="center" wrapText="1"/>
    </xf>
    <xf numFmtId="168" fontId="4" fillId="2" borderId="23" xfId="6" applyNumberFormat="1" applyFont="1" applyFill="1" applyBorder="1" applyAlignment="1" applyProtection="1">
      <alignment horizontal="right" vertical="center" wrapText="1"/>
    </xf>
    <xf numFmtId="167" fontId="4" fillId="2" borderId="42" xfId="6" applyNumberFormat="1" applyFont="1" applyFill="1" applyBorder="1" applyAlignment="1" applyProtection="1">
      <alignment horizontal="right" vertical="center" wrapText="1"/>
    </xf>
    <xf numFmtId="171" fontId="4" fillId="2" borderId="26" xfId="6" applyNumberFormat="1" applyFont="1" applyFill="1" applyBorder="1" applyAlignment="1" applyProtection="1">
      <alignment horizontal="right" vertical="center" wrapText="1"/>
    </xf>
    <xf numFmtId="3" fontId="14" fillId="2" borderId="26" xfId="6" applyNumberFormat="1" applyFont="1" applyFill="1" applyBorder="1" applyAlignment="1" applyProtection="1">
      <alignment horizontal="right" vertical="center" wrapText="1"/>
    </xf>
    <xf numFmtId="167" fontId="14" fillId="2" borderId="4" xfId="6" applyNumberFormat="1" applyFont="1" applyFill="1" applyBorder="1" applyAlignment="1" applyProtection="1">
      <alignment horizontal="right" vertical="center" wrapText="1"/>
    </xf>
    <xf numFmtId="167" fontId="14" fillId="2" borderId="35" xfId="6" applyNumberFormat="1" applyFont="1" applyFill="1" applyBorder="1" applyAlignment="1" applyProtection="1">
      <alignment horizontal="right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11" fillId="0" borderId="17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1" fillId="0" borderId="17" xfId="0" applyFont="1" applyBorder="1" applyAlignment="1">
      <alignment vertical="top"/>
    </xf>
    <xf numFmtId="0" fontId="11" fillId="0" borderId="7" xfId="0" applyFont="1" applyBorder="1" applyAlignment="1">
      <alignment vertical="top"/>
    </xf>
  </cellXfs>
  <cellStyles count="14">
    <cellStyle name="Komma" xfId="1" builtinId="3"/>
    <cellStyle name="Komma 2" xfId="4" xr:uid="{00000000-0005-0000-0000-000001000000}"/>
    <cellStyle name="Komma 3" xfId="6" xr:uid="{00000000-0005-0000-0000-000002000000}"/>
    <cellStyle name="Normale 2" xfId="13" xr:uid="{00000000-0005-0000-0000-000003000000}"/>
    <cellStyle name="Prozent" xfId="2" builtinId="5"/>
    <cellStyle name="Prozent 2" xfId="5" xr:uid="{00000000-0005-0000-0000-000005000000}"/>
    <cellStyle name="Standard" xfId="0" builtinId="0"/>
    <cellStyle name="Standard 2" xfId="3" xr:uid="{00000000-0005-0000-0000-000007000000}"/>
    <cellStyle name="Standard 2 2" xfId="10" xr:uid="{00000000-0005-0000-0000-000008000000}"/>
    <cellStyle name="Standard 2 3" xfId="7" xr:uid="{00000000-0005-0000-0000-000009000000}"/>
    <cellStyle name="Standard 3" xfId="8" xr:uid="{00000000-0005-0000-0000-00000A000000}"/>
    <cellStyle name="Standard 4" xfId="9" xr:uid="{00000000-0005-0000-0000-00000B000000}"/>
    <cellStyle name="Standard 4 2" xfId="11" xr:uid="{00000000-0005-0000-0000-00000C000000}"/>
    <cellStyle name="Standard 5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774699</xdr:colOff>
      <xdr:row>0</xdr:row>
      <xdr:rowOff>22224</xdr:rowOff>
    </xdr:from>
    <xdr:to>
      <xdr:col>6</xdr:col>
      <xdr:colOff>274299</xdr:colOff>
      <xdr:row>4</xdr:row>
      <xdr:rowOff>160224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94299" y="22224"/>
          <a:ext cx="2700000" cy="900000"/>
          <a:chOff x="6010275" y="144910"/>
          <a:chExt cx="2047875" cy="819150"/>
        </a:xfrm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44910"/>
            <a:ext cx="2047875" cy="819150"/>
          </a:xfrm>
          <a:prstGeom prst="rect">
            <a:avLst/>
          </a:prstGeom>
          <a:solidFill>
            <a:srgbClr val="00B0F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3178175</xdr:colOff>
      <xdr:row>4</xdr:row>
      <xdr:rowOff>147077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09077"/>
        </a:xfrm>
        <a:prstGeom prst="rect">
          <a:avLst/>
        </a:prstGeom>
      </xdr:spPr>
    </xdr:pic>
    <xdr:clientData/>
  </xdr:twoCellAnchor>
  <xdr:twoCellAnchor>
    <xdr:from>
      <xdr:col>2</xdr:col>
      <xdr:colOff>6349</xdr:colOff>
      <xdr:row>0</xdr:row>
      <xdr:rowOff>19050</xdr:rowOff>
    </xdr:from>
    <xdr:to>
      <xdr:col>5</xdr:col>
      <xdr:colOff>306049</xdr:colOff>
      <xdr:row>4</xdr:row>
      <xdr:rowOff>157050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5073649" y="19050"/>
          <a:ext cx="2700000" cy="900000"/>
          <a:chOff x="6010275" y="133350"/>
          <a:chExt cx="1919883" cy="819150"/>
        </a:xfrm>
      </xdr:grpSpPr>
      <xdr:sp macro="" textlink="">
        <xdr:nvSpPr>
          <xdr:cNvPr id="11" name="Rechteck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solidFill>
            <a:srgbClr val="00B0F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2" name="Gruppieren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</xdr:grpSpPr>
            <xdr:sp macro="" textlink="">
              <xdr:nvSpPr>
                <xdr:cNvPr id="3079" name="Option Button 7" hidden="1">
                  <a:extLst>
                    <a:ext uri="{63B3BB69-23CF-44E3-9099-C40C66FF867C}">
                      <a14:compatExt spid="_x0000_s3079"/>
                    </a:ext>
                    <a:ext uri="{FF2B5EF4-FFF2-40B4-BE49-F238E27FC236}">
                      <a16:creationId xmlns:a16="http://schemas.microsoft.com/office/drawing/2014/main" id="{00000000-0008-0000-0100-0000070C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3080" name="Option Button 8" hidden="1">
                  <a:extLst>
                    <a:ext uri="{63B3BB69-23CF-44E3-9099-C40C66FF867C}">
                      <a14:compatExt spid="_x0000_s3080"/>
                    </a:ext>
                    <a:ext uri="{FF2B5EF4-FFF2-40B4-BE49-F238E27FC236}">
                      <a16:creationId xmlns:a16="http://schemas.microsoft.com/office/drawing/2014/main" id="{00000000-0008-0000-0100-0000080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3081" name="Option Button 9" hidden="1">
                  <a:extLst>
                    <a:ext uri="{63B3BB69-23CF-44E3-9099-C40C66FF867C}">
                      <a14:compatExt spid="_x0000_s3081"/>
                    </a:ext>
                    <a:ext uri="{FF2B5EF4-FFF2-40B4-BE49-F238E27FC236}">
                      <a16:creationId xmlns:a16="http://schemas.microsoft.com/office/drawing/2014/main" id="{00000000-0008-0000-0100-0000090C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workbookViewId="0"/>
  </sheetViews>
  <sheetFormatPr baseColWidth="10" defaultColWidth="11.42578125" defaultRowHeight="12.75" x14ac:dyDescent="0.2"/>
  <cols>
    <col min="1" max="1" width="19.85546875" style="1" customWidth="1"/>
    <col min="2" max="2" width="46.42578125" style="1" customWidth="1"/>
    <col min="3" max="22" width="12" style="1" customWidth="1"/>
    <col min="23" max="16384" width="11.42578125" style="1"/>
  </cols>
  <sheetData>
    <row r="1" spans="1:22" s="2" customFormat="1" x14ac:dyDescent="0.2"/>
    <row r="2" spans="1:22" s="2" customFormat="1" ht="15.75" x14ac:dyDescent="0.25">
      <c r="B2" s="3"/>
      <c r="C2" s="1"/>
      <c r="D2" s="1"/>
    </row>
    <row r="3" spans="1:22" s="2" customFormat="1" ht="15.75" x14ac:dyDescent="0.25">
      <c r="B3" s="3"/>
      <c r="C3" s="1"/>
      <c r="D3" s="1"/>
    </row>
    <row r="4" spans="1:22" s="2" customFormat="1" ht="15.75" x14ac:dyDescent="0.25">
      <c r="B4" s="3"/>
      <c r="C4" s="1"/>
      <c r="D4" s="1"/>
    </row>
    <row r="5" spans="1:22" s="2" customFormat="1" x14ac:dyDescent="0.2"/>
    <row r="6" spans="1:22" s="2" customFormat="1" x14ac:dyDescent="0.2"/>
    <row r="7" spans="1:22" s="2" customFormat="1" ht="15.75" customHeight="1" x14ac:dyDescent="0.2">
      <c r="A7" s="135" t="str">
        <f>VLOOKUP("&lt;Fachbereich&gt;",Uebersetzungen!$B$3:$E$201,Uebersetzungen!$B$2+1,FALSE)</f>
        <v>Daten &amp; Statistik</v>
      </c>
      <c r="B7" s="135"/>
      <c r="C7" s="4"/>
      <c r="D7" s="4"/>
      <c r="E7" s="4"/>
      <c r="F7" s="4"/>
      <c r="G7" s="4"/>
      <c r="H7" s="4"/>
    </row>
    <row r="8" spans="1:22" s="2" customFormat="1" x14ac:dyDescent="0.2"/>
    <row r="9" spans="1:22" s="8" customFormat="1" ht="18" x14ac:dyDescent="0.2">
      <c r="A9" s="18" t="str">
        <f>VLOOKUP("&lt;Titel&gt;",Uebersetzungen!$B$3:$E$201,Uebersetzungen!$B$2+1,FALSE)</f>
        <v>Erwerbsstatus nach Kanton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2" s="8" customFormat="1" ht="15" x14ac:dyDescent="0.2">
      <c r="A10" s="19" t="str">
        <f>VLOOKUP("&lt;UTitel&gt;",Uebersetzungen!$B$3:$E$201,Uebersetzungen!$B$2+1,FALSE)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2" s="8" customFormat="1" ht="15.75" thickBot="1" x14ac:dyDescent="0.25">
      <c r="A11" s="19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2" ht="18" x14ac:dyDescent="0.25">
      <c r="B12" s="27"/>
      <c r="C12" s="139">
        <v>2024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1"/>
    </row>
    <row r="13" spans="1:22" ht="39" customHeight="1" x14ac:dyDescent="0.2">
      <c r="A13" s="10"/>
      <c r="B13" s="49"/>
      <c r="C13" s="136" t="str">
        <f>VLOOKUP("&lt;SpaltenTitel_1&gt;",Uebersetzungen!$B$3:$E$201,Uebersetzungen!$B$2+1,FALSE)</f>
        <v>Total</v>
      </c>
      <c r="D13" s="137"/>
      <c r="E13" s="138" t="str">
        <f>VLOOKUP("&lt;SpaltenTitel_2&gt;",Uebersetzungen!$B$3:$E$201,Uebersetzungen!$B$2+1,FALSE)</f>
        <v>Erwerbspersonen</v>
      </c>
      <c r="F13" s="133"/>
      <c r="G13" s="133" t="str">
        <f>VLOOKUP("&lt;SpaltenTitel_3&gt;",Uebersetzungen!$B$3:$E$201,Uebersetzungen!$B$2+1,FALSE)</f>
        <v>Erwerbstätige</v>
      </c>
      <c r="H13" s="133"/>
      <c r="I13" s="133" t="str">
        <f>VLOOKUP("&lt;SpaltenTitel_4&gt;",Uebersetzungen!$B$3:$E$201,Uebersetzungen!$B$2+1,FALSE)</f>
        <v>Selbständige</v>
      </c>
      <c r="J13" s="133"/>
      <c r="K13" s="133" t="str">
        <f>VLOOKUP("&lt;SpaltenTitel_5&gt;",Uebersetzungen!$B$3:$E$201,Uebersetzungen!$B$2+1,FALSE)</f>
        <v>Mitarbeitende Familienmitglieder</v>
      </c>
      <c r="L13" s="133"/>
      <c r="M13" s="133" t="str">
        <f>VLOOKUP("&lt;SpaltenTitel_6&gt;",Uebersetzungen!$B$3:$E$201,Uebersetzungen!$B$2+1,FALSE)</f>
        <v>Firmeneigentümer/-innen (AG oder GmbH)</v>
      </c>
      <c r="N13" s="133"/>
      <c r="O13" s="133" t="str">
        <f>VLOOKUP("&lt;SpaltenTitel_7&gt;",Uebersetzungen!$B$3:$E$201,Uebersetzungen!$B$2+1,FALSE)</f>
        <v>Angestellte</v>
      </c>
      <c r="P13" s="133"/>
      <c r="Q13" s="133" t="str">
        <f>VLOOKUP("&lt;SpaltenTitel_8&gt;",Uebersetzungen!$B$3:$E$201,Uebersetzungen!$B$2+1,FALSE)</f>
        <v>Lernende in der dualen beruflichen Grundbildung</v>
      </c>
      <c r="R13" s="133"/>
      <c r="S13" s="133" t="str">
        <f>VLOOKUP("&lt;SpaltenTitel_9&gt;",Uebersetzungen!$B$3:$E$201,Uebersetzungen!$B$2+1,FALSE)</f>
        <v>Erwerbslose</v>
      </c>
      <c r="T13" s="133"/>
      <c r="U13" s="133" t="str">
        <f>VLOOKUP("&lt;SpaltenTitel_10&gt;",Uebersetzungen!$B$3:$E$201,Uebersetzungen!$B$2+1,FALSE)</f>
        <v>Nichterwerbspersonen</v>
      </c>
      <c r="V13" s="134"/>
    </row>
    <row r="14" spans="1:22" ht="39.75" customHeight="1" thickBot="1" x14ac:dyDescent="0.25">
      <c r="A14" s="20"/>
      <c r="B14" s="20"/>
      <c r="C14" s="81" t="str">
        <f>VLOOKUP("&lt;SpaltenTitel_1.1&gt;",Uebersetzungen!$B$3:$E$201,Uebersetzungen!$B$2+1,FALSE)</f>
        <v>Anzahl Personen</v>
      </c>
      <c r="D14" s="73" t="str">
        <f>VLOOKUP("&lt;SpaltenTitel_1.2&gt;",Uebersetzungen!$B$3:$E$201,Uebersetzungen!$B$2+1,FALSE)</f>
        <v>Vertrauens- intervall:          ± (in %)</v>
      </c>
      <c r="E14" s="82" t="str">
        <f>VLOOKUP("&lt;SpaltenTitel_1.1&gt;",Uebersetzungen!$B$3:$E$201,Uebersetzungen!$B$2+1,FALSE)</f>
        <v>Anzahl Personen</v>
      </c>
      <c r="F14" s="52" t="str">
        <f>VLOOKUP("&lt;SpaltenTitel_1.2&gt;",Uebersetzungen!$B$3:$E$201,Uebersetzungen!$B$2+1,FALSE)</f>
        <v>Vertrauens- intervall:          ± (in %)</v>
      </c>
      <c r="G14" s="83" t="str">
        <f>VLOOKUP("&lt;SpaltenTitel_1.1&gt;",Uebersetzungen!$B$3:$E$201,Uebersetzungen!$B$2+1,FALSE)</f>
        <v>Anzahl Personen</v>
      </c>
      <c r="H14" s="52" t="str">
        <f>VLOOKUP("&lt;SpaltenTitel_1.2&gt;",Uebersetzungen!$B$3:$E$201,Uebersetzungen!$B$2+1,FALSE)</f>
        <v>Vertrauens- intervall:          ± (in %)</v>
      </c>
      <c r="I14" s="83" t="str">
        <f>VLOOKUP("&lt;SpaltenTitel_1.1&gt;",Uebersetzungen!$B$3:$E$201,Uebersetzungen!$B$2+1,FALSE)</f>
        <v>Anzahl Personen</v>
      </c>
      <c r="J14" s="52" t="str">
        <f>VLOOKUP("&lt;SpaltenTitel_1.2&gt;",Uebersetzungen!$B$3:$E$201,Uebersetzungen!$B$2+1,FALSE)</f>
        <v>Vertrauens- intervall:          ± (in %)</v>
      </c>
      <c r="K14" s="83" t="str">
        <f>VLOOKUP("&lt;SpaltenTitel_1.1&gt;",Uebersetzungen!$B$3:$E$201,Uebersetzungen!$B$2+1,FALSE)</f>
        <v>Anzahl Personen</v>
      </c>
      <c r="L14" s="52" t="str">
        <f>VLOOKUP("&lt;SpaltenTitel_1.2&gt;",Uebersetzungen!$B$3:$E$201,Uebersetzungen!$B$2+1,FALSE)</f>
        <v>Vertrauens- intervall:          ± (in %)</v>
      </c>
      <c r="M14" s="83" t="str">
        <f>VLOOKUP("&lt;SpaltenTitel_1.1&gt;",Uebersetzungen!$B$3:$E$201,Uebersetzungen!$B$2+1,FALSE)</f>
        <v>Anzahl Personen</v>
      </c>
      <c r="N14" s="52" t="str">
        <f>VLOOKUP("&lt;SpaltenTitel_1.2&gt;",Uebersetzungen!$B$3:$E$201,Uebersetzungen!$B$2+1,FALSE)</f>
        <v>Vertrauens- intervall:          ± (in %)</v>
      </c>
      <c r="O14" s="83" t="str">
        <f>VLOOKUP("&lt;SpaltenTitel_1.1&gt;",Uebersetzungen!$B$3:$E$201,Uebersetzungen!$B$2+1,FALSE)</f>
        <v>Anzahl Personen</v>
      </c>
      <c r="P14" s="52" t="str">
        <f>VLOOKUP("&lt;SpaltenTitel_1.2&gt;",Uebersetzungen!$B$3:$E$201,Uebersetzungen!$B$2+1,FALSE)</f>
        <v>Vertrauens- intervall:          ± (in %)</v>
      </c>
      <c r="Q14" s="83" t="str">
        <f>VLOOKUP("&lt;SpaltenTitel_1.1&gt;",Uebersetzungen!$B$3:$E$201,Uebersetzungen!$B$2+1,FALSE)</f>
        <v>Anzahl Personen</v>
      </c>
      <c r="R14" s="52" t="str">
        <f>VLOOKUP("&lt;SpaltenTitel_1.2&gt;",Uebersetzungen!$B$3:$E$201,Uebersetzungen!$B$2+1,FALSE)</f>
        <v>Vertrauens- intervall:          ± (in %)</v>
      </c>
      <c r="S14" s="83" t="str">
        <f>VLOOKUP("&lt;SpaltenTitel_1.1&gt;",Uebersetzungen!$B$3:$E$201,Uebersetzungen!$B$2+1,FALSE)</f>
        <v>Anzahl Personen</v>
      </c>
      <c r="T14" s="52" t="str">
        <f>VLOOKUP("&lt;SpaltenTitel_1.2&gt;",Uebersetzungen!$B$3:$E$201,Uebersetzungen!$B$2+1,FALSE)</f>
        <v>Vertrauens- intervall:          ± (in %)</v>
      </c>
      <c r="U14" s="83" t="str">
        <f>VLOOKUP("&lt;SpaltenTitel_1.1&gt;",Uebersetzungen!$B$3:$E$201,Uebersetzungen!$B$2+1,FALSE)</f>
        <v>Anzahl Personen</v>
      </c>
      <c r="V14" s="55" t="str">
        <f>VLOOKUP("&lt;SpaltenTitel_1.2&gt;",Uebersetzungen!$B$3:$E$201,Uebersetzungen!$B$2+1,FALSE)</f>
        <v>Vertrauens- intervall:          ± (in %)</v>
      </c>
    </row>
    <row r="15" spans="1:22" ht="12" customHeight="1" x14ac:dyDescent="0.2">
      <c r="A15" s="28" t="str">
        <f>VLOOKUP("&lt;Zeilentitel_1&gt;",Uebersetzungen!$B$3:$E$200,Uebersetzungen!$B$2+1,FALSE)</f>
        <v>Total</v>
      </c>
      <c r="B15" s="59"/>
      <c r="C15" s="90">
        <v>7507509.0000000289</v>
      </c>
      <c r="D15" s="91">
        <v>5.6008377682885274E-2</v>
      </c>
      <c r="E15" s="92">
        <v>4824333.0213821745</v>
      </c>
      <c r="F15" s="91">
        <v>0.30004687710093625</v>
      </c>
      <c r="G15" s="90">
        <v>4583666.2790937517</v>
      </c>
      <c r="H15" s="93">
        <v>0.31774729905048277</v>
      </c>
      <c r="I15" s="90">
        <v>290312.61015517934</v>
      </c>
      <c r="J15" s="91">
        <v>1.9335430520931758</v>
      </c>
      <c r="K15" s="92">
        <v>157708.84938243162</v>
      </c>
      <c r="L15" s="91">
        <v>2.7858877467933985</v>
      </c>
      <c r="M15" s="90">
        <v>281546.54991568357</v>
      </c>
      <c r="N15" s="93">
        <v>1.9701152238023754</v>
      </c>
      <c r="O15" s="90">
        <v>3741207.2186620962</v>
      </c>
      <c r="P15" s="91">
        <v>0.39667180291471521</v>
      </c>
      <c r="Q15" s="92">
        <v>112891.05097835745</v>
      </c>
      <c r="R15" s="91">
        <v>3.3515983860977014</v>
      </c>
      <c r="S15" s="90">
        <v>240666.74228842717</v>
      </c>
      <c r="T15" s="93">
        <v>2.2099205704937579</v>
      </c>
      <c r="U15" s="90">
        <v>2683175.978617853</v>
      </c>
      <c r="V15" s="94">
        <v>0.51381530653834784</v>
      </c>
    </row>
    <row r="16" spans="1:22" x14ac:dyDescent="0.2">
      <c r="A16" s="131" t="str">
        <f>VLOOKUP("&lt;Zeilentitel_2&gt;",Uebersetzungen!$B$3:$E$200,Uebersetzungen!$B$2+1,FALSE)</f>
        <v>Kanton</v>
      </c>
      <c r="B16" s="21" t="str">
        <f>VLOOKUP("&lt;Zeilentitel_2.1&gt;",Uebersetzungen!$B$3:$E$200,Uebersetzungen!$B$2+1,FALSE)</f>
        <v>Zürich</v>
      </c>
      <c r="C16" s="17">
        <v>1347408.0000000002</v>
      </c>
      <c r="D16" s="76">
        <v>0.14609697640702179</v>
      </c>
      <c r="E16" s="63">
        <v>919188.77478820167</v>
      </c>
      <c r="F16" s="76">
        <v>0.71800827307343373</v>
      </c>
      <c r="G16" s="17">
        <v>878413.06419702829</v>
      </c>
      <c r="H16" s="62">
        <v>0.76204209544854351</v>
      </c>
      <c r="I16" s="17">
        <v>50384.785086793228</v>
      </c>
      <c r="J16" s="76">
        <v>5.1031145021576991</v>
      </c>
      <c r="K16" s="63">
        <v>27791.621811505654</v>
      </c>
      <c r="L16" s="76">
        <v>7.1696094307273022</v>
      </c>
      <c r="M16" s="17">
        <v>56094.084923356284</v>
      </c>
      <c r="N16" s="62">
        <v>4.8454824708200395</v>
      </c>
      <c r="O16" s="17">
        <v>723471.93809990713</v>
      </c>
      <c r="P16" s="76">
        <v>0.95956908475473135</v>
      </c>
      <c r="Q16" s="63">
        <v>20670.634275465447</v>
      </c>
      <c r="R16" s="76">
        <v>8.5852073974428702</v>
      </c>
      <c r="S16" s="17">
        <v>40775.710591173607</v>
      </c>
      <c r="T16" s="62">
        <v>6.0529615230248464</v>
      </c>
      <c r="U16" s="17">
        <v>428219.22521179903</v>
      </c>
      <c r="V16" s="87">
        <v>1.4799581449453616</v>
      </c>
    </row>
    <row r="17" spans="1:22" x14ac:dyDescent="0.2">
      <c r="A17" s="131"/>
      <c r="B17" s="21" t="str">
        <f>VLOOKUP("&lt;Zeilentitel_2.2&gt;",Uebersetzungen!$B$3:$E$200,Uebersetzungen!$B$2+1,FALSE)</f>
        <v>Bern</v>
      </c>
      <c r="C17" s="17">
        <v>895907.00000001607</v>
      </c>
      <c r="D17" s="76">
        <v>0.15512405708293817</v>
      </c>
      <c r="E17" s="63">
        <v>573917.72000173037</v>
      </c>
      <c r="F17" s="76">
        <v>0.95534475439534328</v>
      </c>
      <c r="G17" s="17">
        <v>553923.05011131929</v>
      </c>
      <c r="H17" s="62">
        <v>0.99416576937641488</v>
      </c>
      <c r="I17" s="17">
        <v>36777.031390744058</v>
      </c>
      <c r="J17" s="76">
        <v>5.9249718696552076</v>
      </c>
      <c r="K17" s="63">
        <v>21622.727970903852</v>
      </c>
      <c r="L17" s="76">
        <v>7.9990791224723017</v>
      </c>
      <c r="M17" s="17">
        <v>30016.646138776629</v>
      </c>
      <c r="N17" s="62">
        <v>6.5939982815873615</v>
      </c>
      <c r="O17" s="17">
        <v>450181.34047013096</v>
      </c>
      <c r="P17" s="76">
        <v>1.2438484005526431</v>
      </c>
      <c r="Q17" s="63">
        <v>15325.304140764139</v>
      </c>
      <c r="R17" s="76">
        <v>9.7021176635755637</v>
      </c>
      <c r="S17" s="17">
        <v>19994.669890411358</v>
      </c>
      <c r="T17" s="62">
        <v>8.7022247844042049</v>
      </c>
      <c r="U17" s="17">
        <v>321989.279998285</v>
      </c>
      <c r="V17" s="87">
        <v>1.5958033254440362</v>
      </c>
    </row>
    <row r="18" spans="1:22" x14ac:dyDescent="0.2">
      <c r="A18" s="131"/>
      <c r="B18" s="21" t="str">
        <f>VLOOKUP("&lt;Zeilentitel_2.3&gt;",Uebersetzungen!$B$3:$E$200,Uebersetzungen!$B$2+1,FALSE)</f>
        <v>Luzern</v>
      </c>
      <c r="C18" s="17">
        <v>363522.9999999979</v>
      </c>
      <c r="D18" s="76">
        <v>0.19345630722251012</v>
      </c>
      <c r="E18" s="63">
        <v>244689.73600269278</v>
      </c>
      <c r="F18" s="76">
        <v>0.99042159364840265</v>
      </c>
      <c r="G18" s="17">
        <v>237049.31697691829</v>
      </c>
      <c r="H18" s="62">
        <v>1.0292090175661421</v>
      </c>
      <c r="I18" s="17">
        <v>12690.387199144297</v>
      </c>
      <c r="J18" s="76">
        <v>7.1377567255437748</v>
      </c>
      <c r="K18" s="63">
        <v>10893.518362085813</v>
      </c>
      <c r="L18" s="76">
        <v>7.9654882210952929</v>
      </c>
      <c r="M18" s="17">
        <v>15491.178818452336</v>
      </c>
      <c r="N18" s="62">
        <v>6.4013798476287835</v>
      </c>
      <c r="O18" s="17">
        <v>191375.62502720888</v>
      </c>
      <c r="P18" s="76">
        <v>1.3202397394308381</v>
      </c>
      <c r="Q18" s="63">
        <v>6598.6075700267429</v>
      </c>
      <c r="R18" s="76">
        <v>10.660768063671119</v>
      </c>
      <c r="S18" s="17">
        <v>7640.4190257744376</v>
      </c>
      <c r="T18" s="62">
        <v>10.008563724353504</v>
      </c>
      <c r="U18" s="17">
        <v>118833.26399730542</v>
      </c>
      <c r="V18" s="87">
        <v>1.9336556811404246</v>
      </c>
    </row>
    <row r="19" spans="1:22" x14ac:dyDescent="0.2">
      <c r="A19" s="131"/>
      <c r="B19" s="21" t="str">
        <f>VLOOKUP("&lt;Zeilentitel_2.4&gt;",Uebersetzungen!$B$3:$E$200,Uebersetzungen!$B$2+1,FALSE)</f>
        <v>Uri</v>
      </c>
      <c r="C19" s="17">
        <v>31946.000000000327</v>
      </c>
      <c r="D19" s="76">
        <v>0.88503992777014173</v>
      </c>
      <c r="E19" s="63">
        <v>20709.394004141996</v>
      </c>
      <c r="F19" s="76">
        <v>4.9654770676470337</v>
      </c>
      <c r="G19" s="17">
        <v>20257.302504943022</v>
      </c>
      <c r="H19" s="62">
        <v>5.0894814536814268</v>
      </c>
      <c r="I19" s="53">
        <v>1577.4757460088347</v>
      </c>
      <c r="J19" s="84">
        <v>28.652433237942436</v>
      </c>
      <c r="K19" s="66">
        <v>762.62095028320255</v>
      </c>
      <c r="L19" s="84">
        <v>41.897774556647967</v>
      </c>
      <c r="M19" s="53">
        <v>1004.5655574245163</v>
      </c>
      <c r="N19" s="65">
        <v>34.903571208774899</v>
      </c>
      <c r="O19" s="17">
        <v>15942.387459748383</v>
      </c>
      <c r="P19" s="76">
        <v>6.6243663205533139</v>
      </c>
      <c r="Q19" s="66">
        <v>970.2527914780843</v>
      </c>
      <c r="R19" s="84">
        <v>39.007823807330283</v>
      </c>
      <c r="S19" s="54">
        <v>452.09149919897817</v>
      </c>
      <c r="T19" s="65">
        <v>58.611828355593609</v>
      </c>
      <c r="U19" s="17">
        <v>11236.60599585833</v>
      </c>
      <c r="V19" s="87">
        <v>8.6575864307641961</v>
      </c>
    </row>
    <row r="20" spans="1:22" x14ac:dyDescent="0.2">
      <c r="A20" s="131"/>
      <c r="B20" s="21" t="str">
        <f>VLOOKUP("&lt;Zeilentitel_2.5&gt;",Uebersetzungen!$B$3:$E$200,Uebersetzungen!$B$2+1,FALSE)</f>
        <v>Schwyz</v>
      </c>
      <c r="C20" s="17">
        <v>142109.0000000023</v>
      </c>
      <c r="D20" s="76">
        <v>0.38530191072084885</v>
      </c>
      <c r="E20" s="63">
        <v>95383.912508419744</v>
      </c>
      <c r="F20" s="76">
        <v>2.2270367029792908</v>
      </c>
      <c r="G20" s="17">
        <v>92742.314247326445</v>
      </c>
      <c r="H20" s="62">
        <v>2.3106987637671699</v>
      </c>
      <c r="I20" s="17">
        <v>6055.2435982234983</v>
      </c>
      <c r="J20" s="76">
        <v>14.679269748247313</v>
      </c>
      <c r="K20" s="63">
        <v>4693.5187122827074</v>
      </c>
      <c r="L20" s="76">
        <v>17.160417731055002</v>
      </c>
      <c r="M20" s="17">
        <v>8091.4187500315729</v>
      </c>
      <c r="N20" s="62">
        <v>12.663319485991398</v>
      </c>
      <c r="O20" s="17">
        <v>71722.129866724019</v>
      </c>
      <c r="P20" s="76">
        <v>3.0959320320386636</v>
      </c>
      <c r="Q20" s="63">
        <v>2180.0033200647099</v>
      </c>
      <c r="R20" s="76">
        <v>25.413995688909317</v>
      </c>
      <c r="S20" s="17">
        <v>2641.5982610933379</v>
      </c>
      <c r="T20" s="62">
        <v>23.37546510034014</v>
      </c>
      <c r="U20" s="17">
        <v>46725.087491582468</v>
      </c>
      <c r="V20" s="87">
        <v>4.3757258664532621</v>
      </c>
    </row>
    <row r="21" spans="1:22" x14ac:dyDescent="0.2">
      <c r="A21" s="131"/>
      <c r="B21" s="21" t="str">
        <f>VLOOKUP("&lt;Zeilentitel_2.6&gt;",Uebersetzungen!$B$3:$E$200,Uebersetzungen!$B$2+1,FALSE)</f>
        <v>Obwalden</v>
      </c>
      <c r="C21" s="17">
        <v>33148.999999999556</v>
      </c>
      <c r="D21" s="76">
        <v>0.64574877992724478</v>
      </c>
      <c r="E21" s="63">
        <v>21888.195363984109</v>
      </c>
      <c r="F21" s="76">
        <v>4.7861193500321111</v>
      </c>
      <c r="G21" s="17">
        <v>21459.34725355031</v>
      </c>
      <c r="H21" s="62">
        <v>4.9130854152194754</v>
      </c>
      <c r="I21" s="53">
        <v>1375.785229939288</v>
      </c>
      <c r="J21" s="84">
        <v>31.715325559669338</v>
      </c>
      <c r="K21" s="64">
        <v>1279.1934499483386</v>
      </c>
      <c r="L21" s="84">
        <v>32.674675435182799</v>
      </c>
      <c r="M21" s="17">
        <v>1954.3797549425437</v>
      </c>
      <c r="N21" s="62">
        <v>26.496491396317204</v>
      </c>
      <c r="O21" s="17">
        <v>16332.076424852605</v>
      </c>
      <c r="P21" s="76">
        <v>6.6811254906206665</v>
      </c>
      <c r="Q21" s="66">
        <v>517.91239386752204</v>
      </c>
      <c r="R21" s="84">
        <v>49.929379042821679</v>
      </c>
      <c r="S21" s="54">
        <v>428.84811043379852</v>
      </c>
      <c r="T21" s="65">
        <v>58.488838597612073</v>
      </c>
      <c r="U21" s="17">
        <v>11260.804636015457</v>
      </c>
      <c r="V21" s="87">
        <v>8.9324723590373765</v>
      </c>
    </row>
    <row r="22" spans="1:22" x14ac:dyDescent="0.2">
      <c r="A22" s="131"/>
      <c r="B22" s="21" t="str">
        <f>VLOOKUP("&lt;Zeilentitel_2.7&gt;",Uebersetzungen!$B$3:$E$200,Uebersetzungen!$B$2+1,FALSE)</f>
        <v>Nidwalden</v>
      </c>
      <c r="C22" s="17">
        <v>38597.999999999935</v>
      </c>
      <c r="D22" s="76">
        <v>0.64669126821311107</v>
      </c>
      <c r="E22" s="63">
        <v>24362.928319156443</v>
      </c>
      <c r="F22" s="76">
        <v>4.4398560005495158</v>
      </c>
      <c r="G22" s="17">
        <v>23904.05586914219</v>
      </c>
      <c r="H22" s="62">
        <v>4.5368951760620968</v>
      </c>
      <c r="I22" s="53">
        <v>1393.3761906005593</v>
      </c>
      <c r="J22" s="84">
        <v>30.161412689188797</v>
      </c>
      <c r="K22" s="64">
        <v>1031.9971255464177</v>
      </c>
      <c r="L22" s="84">
        <v>34.955651851032798</v>
      </c>
      <c r="M22" s="17">
        <v>2393.7614933488112</v>
      </c>
      <c r="N22" s="62">
        <v>22.123056792027647</v>
      </c>
      <c r="O22" s="17">
        <v>18500.164840005644</v>
      </c>
      <c r="P22" s="76">
        <v>6.0358099150330391</v>
      </c>
      <c r="Q22" s="66">
        <v>584.75621964075629</v>
      </c>
      <c r="R22" s="84">
        <v>45.334209025872539</v>
      </c>
      <c r="S22" s="54">
        <v>458.87245001425526</v>
      </c>
      <c r="T22" s="65">
        <v>56.187928235066742</v>
      </c>
      <c r="U22" s="17">
        <v>14235.071680843492</v>
      </c>
      <c r="V22" s="87">
        <v>7.655023143005784</v>
      </c>
    </row>
    <row r="23" spans="1:22" x14ac:dyDescent="0.2">
      <c r="A23" s="131"/>
      <c r="B23" s="21" t="str">
        <f>VLOOKUP("&lt;Zeilentitel_2.8&gt;",Uebersetzungen!$B$3:$E$200,Uebersetzungen!$B$2+1,FALSE)</f>
        <v>Glarus</v>
      </c>
      <c r="C23" s="17">
        <v>35219.999999999534</v>
      </c>
      <c r="D23" s="76">
        <v>0.82822125379184908</v>
      </c>
      <c r="E23" s="63">
        <v>22884.244719341874</v>
      </c>
      <c r="F23" s="76">
        <v>4.894782831666741</v>
      </c>
      <c r="G23" s="17">
        <v>22373.952143873881</v>
      </c>
      <c r="H23" s="62">
        <v>5.025951517141185</v>
      </c>
      <c r="I23" s="53">
        <v>1341.3738556480475</v>
      </c>
      <c r="J23" s="84">
        <v>32.221218305317741</v>
      </c>
      <c r="K23" s="64">
        <v>1052.4467335270106</v>
      </c>
      <c r="L23" s="84">
        <v>37.042461845701276</v>
      </c>
      <c r="M23" s="53">
        <v>1479.6156900288565</v>
      </c>
      <c r="N23" s="65">
        <v>30.517641581500499</v>
      </c>
      <c r="O23" s="17">
        <v>17903.723488378531</v>
      </c>
      <c r="P23" s="76">
        <v>6.4413559424339422</v>
      </c>
      <c r="Q23" s="66">
        <v>596.79237629142369</v>
      </c>
      <c r="R23" s="84">
        <v>53.472500493136664</v>
      </c>
      <c r="S23" s="54">
        <v>510.29257546799101</v>
      </c>
      <c r="T23" s="65">
        <v>56.472291581130818</v>
      </c>
      <c r="U23" s="17">
        <v>12335.75528065768</v>
      </c>
      <c r="V23" s="87">
        <v>8.602849800937971</v>
      </c>
    </row>
    <row r="24" spans="1:22" x14ac:dyDescent="0.2">
      <c r="A24" s="131"/>
      <c r="B24" s="21" t="str">
        <f>VLOOKUP("&lt;Zeilentitel_2.9&gt;",Uebersetzungen!$B$3:$E$200,Uebersetzungen!$B$2+1,FALSE)</f>
        <v>Zug</v>
      </c>
      <c r="C24" s="17">
        <v>111082.99999999789</v>
      </c>
      <c r="D24" s="76">
        <v>0.30180082167526168</v>
      </c>
      <c r="E24" s="63">
        <v>73728.154201331403</v>
      </c>
      <c r="F24" s="76">
        <v>1.7443809547009004</v>
      </c>
      <c r="G24" s="17">
        <v>70471.520349911138</v>
      </c>
      <c r="H24" s="62">
        <v>1.8498104899469261</v>
      </c>
      <c r="I24" s="17">
        <v>4066.1100192101367</v>
      </c>
      <c r="J24" s="76">
        <v>12.417645481535342</v>
      </c>
      <c r="K24" s="63">
        <v>2621.4705808076783</v>
      </c>
      <c r="L24" s="76">
        <v>15.83958065534364</v>
      </c>
      <c r="M24" s="17">
        <v>6357.5098418741727</v>
      </c>
      <c r="N24" s="62">
        <v>9.7915409228964769</v>
      </c>
      <c r="O24" s="17">
        <v>55995.379162853191</v>
      </c>
      <c r="P24" s="76">
        <v>2.4038294834814526</v>
      </c>
      <c r="Q24" s="63">
        <v>1431.0507451659173</v>
      </c>
      <c r="R24" s="76">
        <v>22.007485763833298</v>
      </c>
      <c r="S24" s="17">
        <v>3256.6338514202967</v>
      </c>
      <c r="T24" s="62">
        <v>14.457360227882155</v>
      </c>
      <c r="U24" s="17">
        <v>37354.845798666465</v>
      </c>
      <c r="V24" s="87">
        <v>3.4512605248428669</v>
      </c>
    </row>
    <row r="25" spans="1:22" x14ac:dyDescent="0.2">
      <c r="A25" s="131"/>
      <c r="B25" s="21" t="str">
        <f>VLOOKUP("&lt;Zeilentitel_2.10&gt;",Uebersetzungen!$B$3:$E$200,Uebersetzungen!$B$2+1,FALSE)</f>
        <v>Freiburg</v>
      </c>
      <c r="C25" s="17">
        <v>283762.99999999901</v>
      </c>
      <c r="D25" s="76">
        <v>0.32445426787497711</v>
      </c>
      <c r="E25" s="63">
        <v>185893.6334891161</v>
      </c>
      <c r="F25" s="76">
        <v>1.638711642717853</v>
      </c>
      <c r="G25" s="17">
        <v>176902.70997562399</v>
      </c>
      <c r="H25" s="62">
        <v>1.7355637187187678</v>
      </c>
      <c r="I25" s="17">
        <v>11574.08343692034</v>
      </c>
      <c r="J25" s="76">
        <v>10.5788985737516</v>
      </c>
      <c r="K25" s="63">
        <v>3979.1726480603074</v>
      </c>
      <c r="L25" s="76">
        <v>18.679036838158503</v>
      </c>
      <c r="M25" s="17">
        <v>8506.9935177076222</v>
      </c>
      <c r="N25" s="62">
        <v>12.439732179942544</v>
      </c>
      <c r="O25" s="17">
        <v>147705.51333432796</v>
      </c>
      <c r="P25" s="76">
        <v>2.1231465487804875</v>
      </c>
      <c r="Q25" s="63">
        <v>5136.9470386075373</v>
      </c>
      <c r="R25" s="76">
        <v>17.059775354386794</v>
      </c>
      <c r="S25" s="17">
        <v>8990.9235134920382</v>
      </c>
      <c r="T25" s="62">
        <v>12.931114892409399</v>
      </c>
      <c r="U25" s="17">
        <v>97869.366510883134</v>
      </c>
      <c r="V25" s="87">
        <v>3.0152696300259287</v>
      </c>
    </row>
    <row r="26" spans="1:22" x14ac:dyDescent="0.2">
      <c r="A26" s="131"/>
      <c r="B26" s="21" t="str">
        <f>VLOOKUP("&lt;Zeilentitel_2.11&gt;",Uebersetzungen!$B$3:$E$200,Uebersetzungen!$B$2+1,FALSE)</f>
        <v>Solothurn</v>
      </c>
      <c r="C26" s="17">
        <v>243244.0000000048</v>
      </c>
      <c r="D26" s="76">
        <v>0.37149545326777672</v>
      </c>
      <c r="E26" s="63">
        <v>153565.08733650239</v>
      </c>
      <c r="F26" s="76">
        <v>1.9171336880607335</v>
      </c>
      <c r="G26" s="17">
        <v>146483.37004354439</v>
      </c>
      <c r="H26" s="62">
        <v>2.0167399307255476</v>
      </c>
      <c r="I26" s="17">
        <v>7848.5330853400237</v>
      </c>
      <c r="J26" s="76">
        <v>13.117447848053915</v>
      </c>
      <c r="K26" s="63">
        <v>7569.3802967057745</v>
      </c>
      <c r="L26" s="76">
        <v>13.962002108420442</v>
      </c>
      <c r="M26" s="17">
        <v>8853.0822742002711</v>
      </c>
      <c r="N26" s="62">
        <v>12.327787736254061</v>
      </c>
      <c r="O26" s="17">
        <v>118334.5868155465</v>
      </c>
      <c r="P26" s="76">
        <v>2.5165029246701542</v>
      </c>
      <c r="Q26" s="63">
        <v>3877.7875717516335</v>
      </c>
      <c r="R26" s="76">
        <v>19.973080453401234</v>
      </c>
      <c r="S26" s="17">
        <v>7081.7172929580192</v>
      </c>
      <c r="T26" s="62">
        <v>14.92536030255153</v>
      </c>
      <c r="U26" s="17">
        <v>89678.91266350259</v>
      </c>
      <c r="V26" s="87">
        <v>3.1092013645124825</v>
      </c>
    </row>
    <row r="27" spans="1:22" x14ac:dyDescent="0.2">
      <c r="A27" s="131"/>
      <c r="B27" s="21" t="str">
        <f>VLOOKUP("&lt;Zeilentitel_2.12&gt;",Uebersetzungen!$B$3:$E$200,Uebersetzungen!$B$2+1,FALSE)</f>
        <v>Basel-Stadt</v>
      </c>
      <c r="C27" s="17">
        <v>168790.99999999849</v>
      </c>
      <c r="D27" s="76">
        <v>0.4837880735346124</v>
      </c>
      <c r="E27" s="63">
        <v>106891.93348575839</v>
      </c>
      <c r="F27" s="76">
        <v>2.2570261515729757</v>
      </c>
      <c r="G27" s="17">
        <v>100063.7240273119</v>
      </c>
      <c r="H27" s="62">
        <v>2.4381388453106241</v>
      </c>
      <c r="I27" s="17">
        <v>5858.1786253257078</v>
      </c>
      <c r="J27" s="76">
        <v>15.326513869312793</v>
      </c>
      <c r="K27" s="63">
        <v>2823.5862338380216</v>
      </c>
      <c r="L27" s="76">
        <v>23.316524982172048</v>
      </c>
      <c r="M27" s="17">
        <v>5343.3359969139492</v>
      </c>
      <c r="N27" s="62">
        <v>15.954908035141173</v>
      </c>
      <c r="O27" s="17">
        <v>84224.771451920082</v>
      </c>
      <c r="P27" s="76">
        <v>2.9290165906006789</v>
      </c>
      <c r="Q27" s="64">
        <v>1813.8517193140519</v>
      </c>
      <c r="R27" s="84">
        <v>30.824881936515293</v>
      </c>
      <c r="S27" s="17">
        <v>6828.2094584465112</v>
      </c>
      <c r="T27" s="62">
        <v>14.893970969700126</v>
      </c>
      <c r="U27" s="17">
        <v>61899.066514240199</v>
      </c>
      <c r="V27" s="87">
        <v>3.968132964530203</v>
      </c>
    </row>
    <row r="28" spans="1:22" x14ac:dyDescent="0.2">
      <c r="A28" s="131"/>
      <c r="B28" s="21" t="str">
        <f>VLOOKUP("&lt;Zeilentitel_2.13&gt;",Uebersetzungen!$B$3:$E$200,Uebersetzungen!$B$2+1,FALSE)</f>
        <v>Basel-Landschaft</v>
      </c>
      <c r="C28" s="17">
        <v>253309.00000000306</v>
      </c>
      <c r="D28" s="76">
        <v>0.31598533704062171</v>
      </c>
      <c r="E28" s="63">
        <v>151925.81574666582</v>
      </c>
      <c r="F28" s="76">
        <v>1.9491639640523812</v>
      </c>
      <c r="G28" s="17">
        <v>144378.13412339095</v>
      </c>
      <c r="H28" s="62">
        <v>2.0498391135228955</v>
      </c>
      <c r="I28" s="17">
        <v>7912.1012513833684</v>
      </c>
      <c r="J28" s="76">
        <v>12.981513847092911</v>
      </c>
      <c r="K28" s="63">
        <v>5465.6852553184481</v>
      </c>
      <c r="L28" s="76">
        <v>16.149911079476379</v>
      </c>
      <c r="M28" s="17">
        <v>8357.3427364277013</v>
      </c>
      <c r="N28" s="62">
        <v>12.474396470443537</v>
      </c>
      <c r="O28" s="17">
        <v>119499.88056519764</v>
      </c>
      <c r="P28" s="76">
        <v>2.4744010343625722</v>
      </c>
      <c r="Q28" s="63">
        <v>3143.1243150637529</v>
      </c>
      <c r="R28" s="76">
        <v>21.970210690455264</v>
      </c>
      <c r="S28" s="17">
        <v>7547.6816232748861</v>
      </c>
      <c r="T28" s="62">
        <v>14.291853061193638</v>
      </c>
      <c r="U28" s="17">
        <v>101383.18425333727</v>
      </c>
      <c r="V28" s="87">
        <v>2.8194742109471806</v>
      </c>
    </row>
    <row r="29" spans="1:22" x14ac:dyDescent="0.2">
      <c r="A29" s="131"/>
      <c r="B29" s="21" t="str">
        <f>VLOOKUP("&lt;Zeilentitel_2.14&gt;",Uebersetzungen!$B$3:$E$200,Uebersetzungen!$B$2+1,FALSE)</f>
        <v>Schaffhausen</v>
      </c>
      <c r="C29" s="17">
        <v>74427.999999999447</v>
      </c>
      <c r="D29" s="76">
        <v>0.63817975574600938</v>
      </c>
      <c r="E29" s="63">
        <v>45754.786520008653</v>
      </c>
      <c r="F29" s="76">
        <v>3.6742526469547059</v>
      </c>
      <c r="G29" s="17">
        <v>44009.555214140251</v>
      </c>
      <c r="H29" s="62">
        <v>3.8368446037125854</v>
      </c>
      <c r="I29" s="17">
        <v>3008.0883589636501</v>
      </c>
      <c r="J29" s="76">
        <v>21.604121849748012</v>
      </c>
      <c r="K29" s="64">
        <v>1921.4563102673656</v>
      </c>
      <c r="L29" s="84">
        <v>27.577868000861884</v>
      </c>
      <c r="M29" s="17">
        <v>2102.927992631192</v>
      </c>
      <c r="N29" s="62">
        <v>26.1735943677376</v>
      </c>
      <c r="O29" s="17">
        <v>35532.928637719669</v>
      </c>
      <c r="P29" s="76">
        <v>4.7792165332418017</v>
      </c>
      <c r="Q29" s="64">
        <v>1444.1539145583827</v>
      </c>
      <c r="R29" s="84">
        <v>31.037066587729996</v>
      </c>
      <c r="S29" s="53">
        <v>1745.2313058683853</v>
      </c>
      <c r="T29" s="65">
        <v>29.533224210589285</v>
      </c>
      <c r="U29" s="17">
        <v>28673.213479990802</v>
      </c>
      <c r="V29" s="87">
        <v>5.3632383765311351</v>
      </c>
    </row>
    <row r="30" spans="1:22" x14ac:dyDescent="0.2">
      <c r="A30" s="131"/>
      <c r="B30" s="21" t="str">
        <f>VLOOKUP("&lt;Zeilentitel_2.15&gt;",Uebersetzungen!$B$3:$E$200,Uebersetzungen!$B$2+1,FALSE)</f>
        <v>Appenzell Ausserrhoden</v>
      </c>
      <c r="C30" s="17">
        <v>46838.000000000378</v>
      </c>
      <c r="D30" s="76">
        <v>0.83967259033923725</v>
      </c>
      <c r="E30" s="63">
        <v>30312.42621454005</v>
      </c>
      <c r="F30" s="76">
        <v>4.2318626985810743</v>
      </c>
      <c r="G30" s="17">
        <v>29388.978766468987</v>
      </c>
      <c r="H30" s="62">
        <v>4.3765942615779316</v>
      </c>
      <c r="I30" s="17">
        <v>2529.9470896826856</v>
      </c>
      <c r="J30" s="76">
        <v>23.168920093269161</v>
      </c>
      <c r="K30" s="64">
        <v>1422.3743149795955</v>
      </c>
      <c r="L30" s="84">
        <v>33.063111288380966</v>
      </c>
      <c r="M30" s="17">
        <v>2469.3626387317936</v>
      </c>
      <c r="N30" s="62">
        <v>22.451766713269315</v>
      </c>
      <c r="O30" s="17">
        <v>22117.004047854076</v>
      </c>
      <c r="P30" s="76">
        <v>5.9237584119626199</v>
      </c>
      <c r="Q30" s="66">
        <v>850.29067522084529</v>
      </c>
      <c r="R30" s="84">
        <v>39.521109127564522</v>
      </c>
      <c r="S30" s="54">
        <v>923.4474480710594</v>
      </c>
      <c r="T30" s="65">
        <v>41.843944714555157</v>
      </c>
      <c r="U30" s="17">
        <v>16525.573785460329</v>
      </c>
      <c r="V30" s="87">
        <v>7.2336192175538603</v>
      </c>
    </row>
    <row r="31" spans="1:22" x14ac:dyDescent="0.2">
      <c r="A31" s="131"/>
      <c r="B31" s="21" t="str">
        <f>VLOOKUP("&lt;Zeilentitel_2.16&gt;",Uebersetzungen!$B$3:$E$200,Uebersetzungen!$B$2+1,FALSE)</f>
        <v>Appenzell Innerrhoden</v>
      </c>
      <c r="C31" s="17">
        <v>13807.999999999942</v>
      </c>
      <c r="D31" s="76">
        <v>1.1928774840542509</v>
      </c>
      <c r="E31" s="63">
        <v>8783.6274753500056</v>
      </c>
      <c r="F31" s="76">
        <v>7.77199730656434</v>
      </c>
      <c r="G31" s="17">
        <v>8706.2918298730983</v>
      </c>
      <c r="H31" s="62">
        <v>7.8576627629397704</v>
      </c>
      <c r="I31" s="54">
        <v>837.49792140673617</v>
      </c>
      <c r="J31" s="84">
        <v>40.243192627942619</v>
      </c>
      <c r="K31" s="66">
        <v>822.96728764293118</v>
      </c>
      <c r="L31" s="84">
        <v>40.330937779783412</v>
      </c>
      <c r="M31" s="53">
        <v>1128.1345287742045</v>
      </c>
      <c r="N31" s="65">
        <v>33.445892096904856</v>
      </c>
      <c r="O31" s="17">
        <v>5498.875219171965</v>
      </c>
      <c r="P31" s="76">
        <v>12.268395679034837</v>
      </c>
      <c r="Q31" s="66">
        <v>418.81687287726106</v>
      </c>
      <c r="R31" s="84">
        <v>60.687355589562273</v>
      </c>
      <c r="S31" s="17" t="s">
        <v>330</v>
      </c>
      <c r="T31" s="62" t="s">
        <v>330</v>
      </c>
      <c r="U31" s="17">
        <v>5024.3725246499362</v>
      </c>
      <c r="V31" s="87">
        <v>12.961278317357976</v>
      </c>
    </row>
    <row r="32" spans="1:22" x14ac:dyDescent="0.2">
      <c r="A32" s="131"/>
      <c r="B32" s="21" t="str">
        <f>VLOOKUP("&lt;Zeilentitel_2.17&gt;",Uebersetzungen!$B$3:$E$200,Uebersetzungen!$B$2+1,FALSE)</f>
        <v>St. Gallen</v>
      </c>
      <c r="C32" s="17">
        <v>448491.00000000361</v>
      </c>
      <c r="D32" s="76">
        <v>0.24694214519392838</v>
      </c>
      <c r="E32" s="63">
        <v>293268.8249515713</v>
      </c>
      <c r="F32" s="76">
        <v>1.3289004028242999</v>
      </c>
      <c r="G32" s="17">
        <v>282111.30460894416</v>
      </c>
      <c r="H32" s="62">
        <v>1.3901029323321243</v>
      </c>
      <c r="I32" s="17">
        <v>15205.750891090587</v>
      </c>
      <c r="J32" s="76">
        <v>9.3605578240656815</v>
      </c>
      <c r="K32" s="63">
        <v>14214.132641325767</v>
      </c>
      <c r="L32" s="76">
        <v>9.9352301124021007</v>
      </c>
      <c r="M32" s="17">
        <v>17115.999308110197</v>
      </c>
      <c r="N32" s="62">
        <v>8.6934869636275494</v>
      </c>
      <c r="O32" s="17">
        <v>226427.18349463795</v>
      </c>
      <c r="P32" s="76">
        <v>1.772152530185366</v>
      </c>
      <c r="Q32" s="63">
        <v>9148.2382737790067</v>
      </c>
      <c r="R32" s="76">
        <v>12.745413487219839</v>
      </c>
      <c r="S32" s="17">
        <v>11157.52034262694</v>
      </c>
      <c r="T32" s="62">
        <v>11.728500227833861</v>
      </c>
      <c r="U32" s="17">
        <v>155222.17504843327</v>
      </c>
      <c r="V32" s="87">
        <v>2.3724584020290922</v>
      </c>
    </row>
    <row r="33" spans="1:22" x14ac:dyDescent="0.2">
      <c r="A33" s="131"/>
      <c r="B33" s="22" t="str">
        <f>VLOOKUP("&lt;Zeilentitel_2.18&gt;",Uebersetzungen!$B$3:$E$200,Uebersetzungen!$B$2+1,FALSE)</f>
        <v>Graubünden</v>
      </c>
      <c r="C33" s="77">
        <v>175976.99999999552</v>
      </c>
      <c r="D33" s="78">
        <v>0.39675788464814371</v>
      </c>
      <c r="E33" s="72">
        <v>112474.73398520272</v>
      </c>
      <c r="F33" s="78">
        <v>2.1856328301696677</v>
      </c>
      <c r="G33" s="77">
        <v>110190.32702338899</v>
      </c>
      <c r="H33" s="71">
        <v>2.2402588065625419</v>
      </c>
      <c r="I33" s="77">
        <v>9597.8682009606982</v>
      </c>
      <c r="J33" s="78">
        <v>11.538681880386878</v>
      </c>
      <c r="K33" s="72">
        <v>5917.8550900312302</v>
      </c>
      <c r="L33" s="78">
        <v>15.302970929994604</v>
      </c>
      <c r="M33" s="77">
        <v>7643.4933331475422</v>
      </c>
      <c r="N33" s="71">
        <v>12.906923967794663</v>
      </c>
      <c r="O33" s="77">
        <v>84395.368549771491</v>
      </c>
      <c r="P33" s="78">
        <v>2.9909355136944007</v>
      </c>
      <c r="Q33" s="72">
        <v>2635.7418494780118</v>
      </c>
      <c r="R33" s="78">
        <v>22.72247569772259</v>
      </c>
      <c r="S33" s="77">
        <v>2284.4069618137946</v>
      </c>
      <c r="T33" s="71">
        <v>25.177421180026492</v>
      </c>
      <c r="U33" s="77">
        <v>63502.266014792767</v>
      </c>
      <c r="V33" s="88">
        <v>3.6135246280747109</v>
      </c>
    </row>
    <row r="34" spans="1:22" x14ac:dyDescent="0.2">
      <c r="A34" s="131"/>
      <c r="B34" s="21" t="str">
        <f>VLOOKUP("&lt;Zeilentitel_2.19&gt;",Uebersetzungen!$B$3:$E$200,Uebersetzungen!$B$2+1,FALSE)</f>
        <v>Aargau</v>
      </c>
      <c r="C34" s="17">
        <v>612777.99999999604</v>
      </c>
      <c r="D34" s="76">
        <v>0.15003038036062294</v>
      </c>
      <c r="E34" s="63">
        <v>404077.0839189433</v>
      </c>
      <c r="F34" s="76">
        <v>0.78594011340638081</v>
      </c>
      <c r="G34" s="17">
        <v>386200.71314475447</v>
      </c>
      <c r="H34" s="62">
        <v>0.82788905102096133</v>
      </c>
      <c r="I34" s="17">
        <v>18757.336161616422</v>
      </c>
      <c r="J34" s="76">
        <v>5.8407255104139235</v>
      </c>
      <c r="K34" s="63">
        <v>16572.824744455407</v>
      </c>
      <c r="L34" s="76">
        <v>6.4550579059650826</v>
      </c>
      <c r="M34" s="17">
        <v>21681.441250916101</v>
      </c>
      <c r="N34" s="62">
        <v>5.4741605195830001</v>
      </c>
      <c r="O34" s="17">
        <v>318921.34538871725</v>
      </c>
      <c r="P34" s="76">
        <v>1.0264012802993869</v>
      </c>
      <c r="Q34" s="63">
        <v>10267.765599048815</v>
      </c>
      <c r="R34" s="76">
        <v>8.3375175881998373</v>
      </c>
      <c r="S34" s="17">
        <v>17876.37077418861</v>
      </c>
      <c r="T34" s="62">
        <v>6.4987863086586124</v>
      </c>
      <c r="U34" s="17">
        <v>208700.91608105335</v>
      </c>
      <c r="V34" s="87">
        <v>1.4310696335892417</v>
      </c>
    </row>
    <row r="35" spans="1:22" ht="12.75" customHeight="1" x14ac:dyDescent="0.2">
      <c r="A35" s="131"/>
      <c r="B35" s="21" t="str">
        <f>VLOOKUP("&lt;Zeilentitel_2.20&gt;",Uebersetzungen!$B$3:$E$200,Uebersetzungen!$B$2+1,FALSE)</f>
        <v>Thurgau</v>
      </c>
      <c r="C35" s="17">
        <v>249376.00000000026</v>
      </c>
      <c r="D35" s="76">
        <v>0.35527943227894765</v>
      </c>
      <c r="E35" s="63">
        <v>164182.63014810416</v>
      </c>
      <c r="F35" s="76">
        <v>1.8031958174210523</v>
      </c>
      <c r="G35" s="17">
        <v>158185.06192524882</v>
      </c>
      <c r="H35" s="62">
        <v>1.8818505962730512</v>
      </c>
      <c r="I35" s="17">
        <v>10404.491412507025</v>
      </c>
      <c r="J35" s="76">
        <v>11.273412094789471</v>
      </c>
      <c r="K35" s="63">
        <v>7594.111657147374</v>
      </c>
      <c r="L35" s="76">
        <v>13.737523287697496</v>
      </c>
      <c r="M35" s="17">
        <v>10336.82838919208</v>
      </c>
      <c r="N35" s="62">
        <v>11.375040970307724</v>
      </c>
      <c r="O35" s="17">
        <v>125327.18242553476</v>
      </c>
      <c r="P35" s="76">
        <v>2.4370129284973387</v>
      </c>
      <c r="Q35" s="63">
        <v>4522.4480408676482</v>
      </c>
      <c r="R35" s="76">
        <v>17.810347335192059</v>
      </c>
      <c r="S35" s="17">
        <v>5997.5682228554069</v>
      </c>
      <c r="T35" s="62">
        <v>16.225717598001737</v>
      </c>
      <c r="U35" s="17">
        <v>85193.369851895972</v>
      </c>
      <c r="V35" s="87">
        <v>3.1945250903289848</v>
      </c>
    </row>
    <row r="36" spans="1:22" x14ac:dyDescent="0.2">
      <c r="A36" s="131"/>
      <c r="B36" s="21" t="str">
        <f>VLOOKUP("&lt;Zeilentitel_2.21&gt;",Uebersetzungen!$B$3:$E$200,Uebersetzungen!$B$2+1,FALSE)</f>
        <v>Ticino</v>
      </c>
      <c r="C36" s="17">
        <v>308002.00000000116</v>
      </c>
      <c r="D36" s="76">
        <v>0.20641093920650763</v>
      </c>
      <c r="E36" s="63">
        <v>168888.03806970338</v>
      </c>
      <c r="F36" s="76">
        <v>1.3907472518142616</v>
      </c>
      <c r="G36" s="17">
        <v>157083.57479431535</v>
      </c>
      <c r="H36" s="62">
        <v>1.4834819732887141</v>
      </c>
      <c r="I36" s="17">
        <v>14406.534964177157</v>
      </c>
      <c r="J36" s="76">
        <v>6.7610263600055536</v>
      </c>
      <c r="K36" s="63">
        <v>1653.7445626291874</v>
      </c>
      <c r="L36" s="76">
        <v>20.337695252139834</v>
      </c>
      <c r="M36" s="17">
        <v>12562.573543677208</v>
      </c>
      <c r="N36" s="62">
        <v>7.2138753687855317</v>
      </c>
      <c r="O36" s="17">
        <v>125949.70176211587</v>
      </c>
      <c r="P36" s="76">
        <v>1.8090943848665693</v>
      </c>
      <c r="Q36" s="63">
        <v>2511.0199617157696</v>
      </c>
      <c r="R36" s="76">
        <v>17.585926093095466</v>
      </c>
      <c r="S36" s="17">
        <v>11804.463275387981</v>
      </c>
      <c r="T36" s="62">
        <v>8.014852085462211</v>
      </c>
      <c r="U36" s="17">
        <v>139113.96193029804</v>
      </c>
      <c r="V36" s="87">
        <v>1.6284717820679595</v>
      </c>
    </row>
    <row r="37" spans="1:22" x14ac:dyDescent="0.2">
      <c r="A37" s="131"/>
      <c r="B37" s="21" t="str">
        <f>VLOOKUP("&lt;Zeilentitel_2.22&gt;",Uebersetzungen!$B$3:$E$200,Uebersetzungen!$B$2+1,FALSE)</f>
        <v>Vaud</v>
      </c>
      <c r="C37" s="17">
        <v>699661.99999999441</v>
      </c>
      <c r="D37" s="76">
        <v>0.15227178980422582</v>
      </c>
      <c r="E37" s="63">
        <v>437394.3522042582</v>
      </c>
      <c r="F37" s="76">
        <v>0.79465097708926391</v>
      </c>
      <c r="G37" s="17">
        <v>402568.49537584372</v>
      </c>
      <c r="H37" s="62">
        <v>0.86815690476675766</v>
      </c>
      <c r="I37" s="17">
        <v>29371.591384577587</v>
      </c>
      <c r="J37" s="76">
        <v>4.7033586763434165</v>
      </c>
      <c r="K37" s="63">
        <v>6530.5096663495478</v>
      </c>
      <c r="L37" s="76">
        <v>10.461753929601093</v>
      </c>
      <c r="M37" s="17">
        <v>22002.158242341469</v>
      </c>
      <c r="N37" s="62">
        <v>5.4706558616305552</v>
      </c>
      <c r="O37" s="17">
        <v>336629.24308914546</v>
      </c>
      <c r="P37" s="76">
        <v>1.0438230529161074</v>
      </c>
      <c r="Q37" s="63">
        <v>8034.9929934290676</v>
      </c>
      <c r="R37" s="76">
        <v>9.6983675778973115</v>
      </c>
      <c r="S37" s="17">
        <v>34825.856828414326</v>
      </c>
      <c r="T37" s="62">
        <v>4.6303871408777635</v>
      </c>
      <c r="U37" s="17">
        <v>262267.64779573702</v>
      </c>
      <c r="V37" s="87">
        <v>1.2781660825443055</v>
      </c>
    </row>
    <row r="38" spans="1:22" x14ac:dyDescent="0.2">
      <c r="A38" s="131"/>
      <c r="B38" s="21" t="str">
        <f>VLOOKUP("&lt;Zeilentitel_2.23&gt;",Uebersetzungen!$B$3:$E$200,Uebersetzungen!$B$2+1,FALSE)</f>
        <v>Wallis</v>
      </c>
      <c r="C38" s="17">
        <v>311880.99999999884</v>
      </c>
      <c r="D38" s="76">
        <v>0.33206874514857088</v>
      </c>
      <c r="E38" s="63">
        <v>193148.32989660159</v>
      </c>
      <c r="F38" s="76">
        <v>1.7564575923383743</v>
      </c>
      <c r="G38" s="17">
        <v>182575.82343166065</v>
      </c>
      <c r="H38" s="62">
        <v>1.8615235723574339</v>
      </c>
      <c r="I38" s="17">
        <v>12081.058132474824</v>
      </c>
      <c r="J38" s="76">
        <v>10.686452735597268</v>
      </c>
      <c r="K38" s="63">
        <v>4752.2899117321649</v>
      </c>
      <c r="L38" s="76">
        <v>17.283082163463739</v>
      </c>
      <c r="M38" s="17">
        <v>12094.055883450255</v>
      </c>
      <c r="N38" s="62">
        <v>10.555376953975516</v>
      </c>
      <c r="O38" s="17">
        <v>149199.6327106274</v>
      </c>
      <c r="P38" s="76">
        <v>2.2910225249288261</v>
      </c>
      <c r="Q38" s="63">
        <v>4448.7867933759244</v>
      </c>
      <c r="R38" s="76">
        <v>18.855082197931424</v>
      </c>
      <c r="S38" s="17">
        <v>10572.506464941038</v>
      </c>
      <c r="T38" s="62">
        <v>12.284153565967955</v>
      </c>
      <c r="U38" s="17">
        <v>118732.67010339719</v>
      </c>
      <c r="V38" s="87">
        <v>2.6761945212729592</v>
      </c>
    </row>
    <row r="39" spans="1:22" x14ac:dyDescent="0.2">
      <c r="A39" s="131"/>
      <c r="B39" s="21" t="str">
        <f>VLOOKUP("&lt;Zeilentitel_2.24&gt;",Uebersetzungen!$B$3:$E$200,Uebersetzungen!$B$2+1,FALSE)</f>
        <v>Neuchâtel</v>
      </c>
      <c r="C39" s="17">
        <v>150142.00000000125</v>
      </c>
      <c r="D39" s="76">
        <v>0.28056232088354072</v>
      </c>
      <c r="E39" s="63">
        <v>92085.733977179596</v>
      </c>
      <c r="F39" s="76">
        <v>1.730688493787889</v>
      </c>
      <c r="G39" s="17">
        <v>84806.484587307466</v>
      </c>
      <c r="H39" s="62">
        <v>1.8885287448416384</v>
      </c>
      <c r="I39" s="17">
        <v>7186.054573627337</v>
      </c>
      <c r="J39" s="76">
        <v>9.3668791671945506</v>
      </c>
      <c r="K39" s="63">
        <v>1235.494758463627</v>
      </c>
      <c r="L39" s="76">
        <v>23.548393227887892</v>
      </c>
      <c r="M39" s="17">
        <v>4288.4013812751591</v>
      </c>
      <c r="N39" s="62">
        <v>12.305980091508509</v>
      </c>
      <c r="O39" s="17">
        <v>70125.821956326094</v>
      </c>
      <c r="P39" s="76">
        <v>2.2889003477439154</v>
      </c>
      <c r="Q39" s="63">
        <v>1970.7119176152396</v>
      </c>
      <c r="R39" s="76">
        <v>19.301579818613092</v>
      </c>
      <c r="S39" s="17">
        <v>7279.2493898720841</v>
      </c>
      <c r="T39" s="62">
        <v>9.9126090256797834</v>
      </c>
      <c r="U39" s="17">
        <v>58056.266022821692</v>
      </c>
      <c r="V39" s="87">
        <v>2.648594433862439</v>
      </c>
    </row>
    <row r="40" spans="1:22" x14ac:dyDescent="0.2">
      <c r="A40" s="131"/>
      <c r="B40" s="21" t="str">
        <f>VLOOKUP("&lt;Zeilentitel_2.25&gt;",Uebersetzungen!$B$3:$E$200,Uebersetzungen!$B$2+1,FALSE)</f>
        <v>Genève</v>
      </c>
      <c r="C40" s="17">
        <v>405611.00000000373</v>
      </c>
      <c r="D40" s="76">
        <v>0.25334185814379168</v>
      </c>
      <c r="E40" s="63">
        <v>243265.68507738149</v>
      </c>
      <c r="F40" s="76">
        <v>1.1637576538723877</v>
      </c>
      <c r="G40" s="17">
        <v>216158.81989307297</v>
      </c>
      <c r="H40" s="62">
        <v>1.3005203992152201</v>
      </c>
      <c r="I40" s="17">
        <v>15662.308798599897</v>
      </c>
      <c r="J40" s="76">
        <v>6.7543661529431178</v>
      </c>
      <c r="K40" s="63">
        <v>2524.4696001723828</v>
      </c>
      <c r="L40" s="76">
        <v>17.420307880009169</v>
      </c>
      <c r="M40" s="17">
        <v>12366.983855386305</v>
      </c>
      <c r="N40" s="62">
        <v>7.689785649173781</v>
      </c>
      <c r="O40" s="17">
        <v>182929.46647395391</v>
      </c>
      <c r="P40" s="76">
        <v>1.5226458106685961</v>
      </c>
      <c r="Q40" s="63">
        <v>2675.5911649604768</v>
      </c>
      <c r="R40" s="76">
        <v>18.036050090759495</v>
      </c>
      <c r="S40" s="17">
        <v>27106.865184308568</v>
      </c>
      <c r="T40" s="62">
        <v>5.5041238658332956</v>
      </c>
      <c r="U40" s="17">
        <v>162345.31492262223</v>
      </c>
      <c r="V40" s="87">
        <v>1.6539543168209805</v>
      </c>
    </row>
    <row r="41" spans="1:22" ht="13.5" thickBot="1" x14ac:dyDescent="0.25">
      <c r="A41" s="132"/>
      <c r="B41" s="26" t="str">
        <f>VLOOKUP("&lt;Zeilentitel_2.26&gt;",Uebersetzungen!$B$3:$E$200,Uebersetzungen!$B$2+1,FALSE)</f>
        <v>Jura</v>
      </c>
      <c r="C41" s="79">
        <v>62464.999999999614</v>
      </c>
      <c r="D41" s="80">
        <v>0.56737325987103315</v>
      </c>
      <c r="E41" s="67">
        <v>35667.238976284614</v>
      </c>
      <c r="F41" s="80">
        <v>4.0386670200055814</v>
      </c>
      <c r="G41" s="79">
        <v>33258.986674842155</v>
      </c>
      <c r="H41" s="58">
        <v>4.3272851465043933</v>
      </c>
      <c r="I41" s="79">
        <v>2409.6175502133669</v>
      </c>
      <c r="J41" s="80">
        <v>22.816022855524608</v>
      </c>
      <c r="K41" s="68">
        <v>959.67870642184209</v>
      </c>
      <c r="L41" s="85">
        <v>38.279394973398951</v>
      </c>
      <c r="M41" s="79">
        <v>1810.274074564833</v>
      </c>
      <c r="N41" s="58">
        <v>26.309377250978304</v>
      </c>
      <c r="O41" s="79">
        <v>26963.947899712879</v>
      </c>
      <c r="P41" s="80">
        <v>5.2652048609131024</v>
      </c>
      <c r="Q41" s="70">
        <v>1115.4684439292323</v>
      </c>
      <c r="R41" s="85">
        <v>35.147665267768268</v>
      </c>
      <c r="S41" s="79">
        <v>2408.2523014424737</v>
      </c>
      <c r="T41" s="58">
        <v>24.05110667636103</v>
      </c>
      <c r="U41" s="79">
        <v>26797.761023714986</v>
      </c>
      <c r="V41" s="89">
        <v>5.2910656534326952</v>
      </c>
    </row>
    <row r="42" spans="1:22" x14ac:dyDescent="0.2">
      <c r="A42" s="16"/>
      <c r="B42" s="10"/>
      <c r="C42" s="9"/>
      <c r="D42" s="11"/>
      <c r="E42" s="12"/>
      <c r="F42" s="13"/>
      <c r="G42" s="14"/>
      <c r="H42" s="13"/>
      <c r="I42" s="14"/>
      <c r="J42" s="13"/>
      <c r="K42" s="14"/>
      <c r="L42" s="14"/>
      <c r="M42" s="13"/>
      <c r="N42" s="14"/>
    </row>
    <row r="43" spans="1:22" x14ac:dyDescent="0.2">
      <c r="A43" s="15" t="str">
        <f>VLOOKUP("&lt;Legende_1&gt;",Uebersetzungen!$B$3:$E$200,Uebersetzungen!$B$2+1,FALSE)</f>
        <v>(): Extrapolation aufgrund von 49 oder weniger Beobachtungen. Die Resultate sind mit grosser Vorsicht zu interpretieren.</v>
      </c>
    </row>
    <row r="44" spans="1:22" x14ac:dyDescent="0.2">
      <c r="A44" s="15" t="str">
        <f>VLOOKUP("&lt;Legende_2&gt;",Uebersetzungen!$B$3:$E$200,Uebersetzungen!$B$2+1,FALSE)</f>
        <v>X: Extrapolation aufgrund von 4 oder weniger Beobachtungen. Die Resultate werden aus Gründen des Datenschutzes nicht publiziert.</v>
      </c>
    </row>
    <row r="45" spans="1:22" x14ac:dyDescent="0.2">
      <c r="A45" s="15" t="str">
        <f>VLOOKUP("&lt;Legende_3&gt;",Uebersetzungen!$B$3:$E$200,Uebersetzungen!$B$2+1,FALSE)</f>
        <v>Die Grundgesamtheit der Strukturerhebung enthält alle Personen der ständigen Wohnbevölkerung ab vollendetem 15. Altersjahr, die in Privathaushalten leben.</v>
      </c>
    </row>
    <row r="46" spans="1:22" x14ac:dyDescent="0.2">
      <c r="A46" s="15" t="str">
        <f>VLOOKUP("&lt;Legende_4&gt;",Uebersetzungen!$B$3:$E$200,Uebersetzungen!$B$2+1,FALSE)</f>
        <v>Aus der Grundgesamtheit ausgeschlossen wurden neben den Personen, die in Kollektivhaushalten leben, auch Diplomaten, internationale Funktionäre und deren Angehörige.</v>
      </c>
    </row>
    <row r="48" spans="1:22" x14ac:dyDescent="0.2">
      <c r="A48" s="1" t="str">
        <f>VLOOKUP("&lt;quelle_1&gt;",Uebersetzungen!$B$3:$E$200,Uebersetzungen!$B$2+1,FALSE)</f>
        <v>Quelle: BFS (Strukturerhebung)</v>
      </c>
    </row>
    <row r="49" spans="1:1" x14ac:dyDescent="0.2">
      <c r="A49" s="1" t="str">
        <f>VLOOKUP("&lt;aktualisierung&gt;",Uebersetzungen!$B$3:$E$200,Uebersetzungen!$B$2+1,FALSE)</f>
        <v>Letztmals aktualisiert am: 29.01.2026</v>
      </c>
    </row>
  </sheetData>
  <sheetProtection sheet="1" objects="1" scenarios="1"/>
  <mergeCells count="13">
    <mergeCell ref="A16:A41"/>
    <mergeCell ref="U13:V13"/>
    <mergeCell ref="Q13:R13"/>
    <mergeCell ref="S13:T13"/>
    <mergeCell ref="A7:B7"/>
    <mergeCell ref="K13:L13"/>
    <mergeCell ref="M13:N13"/>
    <mergeCell ref="O13:P13"/>
    <mergeCell ref="C13:D13"/>
    <mergeCell ref="E13:F13"/>
    <mergeCell ref="G13:H13"/>
    <mergeCell ref="I13:J13"/>
    <mergeCell ref="C12:V12"/>
  </mergeCells>
  <pageMargins left="0.7" right="0.7" top="0.78740157499999996" bottom="0.78740157499999996" header="0.3" footer="0.3"/>
  <pageSetup paperSize="9" orientation="portrait" r:id="rId1"/>
  <ignoredErrors>
    <ignoredError sqref="E14:G14 H14:I14 J14:K14 L14:N14 O14:Q14 T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447675</xdr:colOff>
                    <xdr:row>1</xdr:row>
                    <xdr:rowOff>114300</xdr:rowOff>
                  </from>
                  <to>
                    <xdr:col>4</xdr:col>
                    <xdr:colOff>790575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447675</xdr:colOff>
                    <xdr:row>2</xdr:row>
                    <xdr:rowOff>104775</xdr:rowOff>
                  </from>
                  <to>
                    <xdr:col>5</xdr:col>
                    <xdr:colOff>352425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76200</xdr:rowOff>
                  </from>
                  <to>
                    <xdr:col>4</xdr:col>
                    <xdr:colOff>790575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6"/>
  <sheetViews>
    <sheetView showGridLines="0" workbookViewId="0"/>
  </sheetViews>
  <sheetFormatPr baseColWidth="10" defaultColWidth="11.42578125" defaultRowHeight="12.75" x14ac:dyDescent="0.2"/>
  <cols>
    <col min="1" max="1" width="26.85546875" style="24" customWidth="1"/>
    <col min="2" max="2" width="49.140625" style="24" customWidth="1"/>
    <col min="3" max="22" width="12" style="24" customWidth="1"/>
    <col min="23" max="16384" width="11.42578125" style="24"/>
  </cols>
  <sheetData>
    <row r="1" spans="1:22" s="2" customFormat="1" x14ac:dyDescent="0.2"/>
    <row r="2" spans="1:22" s="2" customFormat="1" ht="15.75" x14ac:dyDescent="0.25">
      <c r="B2" s="3"/>
      <c r="C2" s="1"/>
      <c r="D2" s="1"/>
    </row>
    <row r="3" spans="1:22" s="2" customFormat="1" ht="15.75" x14ac:dyDescent="0.25">
      <c r="B3" s="3"/>
      <c r="C3" s="1"/>
      <c r="D3" s="1"/>
    </row>
    <row r="4" spans="1:22" s="2" customFormat="1" ht="15.75" x14ac:dyDescent="0.25">
      <c r="B4" s="3"/>
      <c r="C4" s="1"/>
      <c r="D4" s="1"/>
    </row>
    <row r="5" spans="1:22" s="2" customFormat="1" x14ac:dyDescent="0.2"/>
    <row r="6" spans="1:22" s="2" customFormat="1" x14ac:dyDescent="0.2"/>
    <row r="7" spans="1:22" s="2" customFormat="1" ht="15.75" customHeight="1" x14ac:dyDescent="0.2">
      <c r="A7" s="135" t="str">
        <f>VLOOKUP("&lt;Fachbereich&gt;",Uebersetzungen!$B$3:$E$201,Uebersetzungen!$B$2+1,FALSE)</f>
        <v>Daten &amp; Statistik</v>
      </c>
      <c r="B7" s="135"/>
      <c r="C7" s="4"/>
      <c r="D7" s="4"/>
      <c r="E7" s="4"/>
      <c r="F7" s="4"/>
      <c r="G7" s="4"/>
      <c r="H7" s="4"/>
    </row>
    <row r="8" spans="1:22" s="2" customFormat="1" x14ac:dyDescent="0.2"/>
    <row r="9" spans="1:22" s="8" customFormat="1" ht="18" x14ac:dyDescent="0.2">
      <c r="A9" s="18" t="str">
        <f>VLOOKUP("&lt;T2Titel&gt;",Uebersetzungen!$B$3:$E$201,Uebersetzungen!$B$2+1,FALSE)</f>
        <v>Erwerbsstatus im Kanton Graubünden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2" s="8" customFormat="1" ht="15" x14ac:dyDescent="0.2">
      <c r="A10" s="19" t="str">
        <f>VLOOKUP("&lt;UTitel&gt;",Uebersetzungen!$B$3:$E$201,Uebersetzungen!$B$2+1,FALSE)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2" s="8" customFormat="1" ht="15.75" thickBot="1" x14ac:dyDescent="0.25">
      <c r="A11" s="19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2" s="8" customFormat="1" ht="18" x14ac:dyDescent="0.25">
      <c r="A12" s="29"/>
      <c r="B12" s="51"/>
      <c r="C12" s="139">
        <v>2024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1"/>
    </row>
    <row r="13" spans="1:22" ht="39.75" customHeight="1" x14ac:dyDescent="0.2">
      <c r="A13" s="30"/>
      <c r="B13" s="50"/>
      <c r="C13" s="136" t="str">
        <f>VLOOKUP("&lt;SpaltenTitel_1&gt;",Uebersetzungen!$B$3:$E$201,Uebersetzungen!$B$2+1,FALSE)</f>
        <v>Total</v>
      </c>
      <c r="D13" s="137"/>
      <c r="E13" s="138" t="str">
        <f>VLOOKUP("&lt;SpaltenTitel_2&gt;",Uebersetzungen!$B$3:$E$201,Uebersetzungen!$B$2+1,FALSE)</f>
        <v>Erwerbspersonen</v>
      </c>
      <c r="F13" s="133"/>
      <c r="G13" s="133" t="str">
        <f>VLOOKUP("&lt;SpaltenTitel_3&gt;",Uebersetzungen!$B$3:$E$201,Uebersetzungen!$B$2+1,FALSE)</f>
        <v>Erwerbstätige</v>
      </c>
      <c r="H13" s="133"/>
      <c r="I13" s="133" t="str">
        <f>VLOOKUP("&lt;SpaltenTitel_4&gt;",Uebersetzungen!$B$3:$E$201,Uebersetzungen!$B$2+1,FALSE)</f>
        <v>Selbständige</v>
      </c>
      <c r="J13" s="133"/>
      <c r="K13" s="133" t="str">
        <f>VLOOKUP("&lt;SpaltenTitel_5&gt;",Uebersetzungen!$B$3:$E$201,Uebersetzungen!$B$2+1,FALSE)</f>
        <v>Mitarbeitende Familienmitglieder</v>
      </c>
      <c r="L13" s="133"/>
      <c r="M13" s="133" t="str">
        <f>VLOOKUP("&lt;SpaltenTitel_6&gt;",Uebersetzungen!$B$3:$E$201,Uebersetzungen!$B$2+1,FALSE)</f>
        <v>Firmeneigentümer/-innen (AG oder GmbH)</v>
      </c>
      <c r="N13" s="133"/>
      <c r="O13" s="133" t="str">
        <f>VLOOKUP("&lt;SpaltenTitel_7&gt;",Uebersetzungen!$B$3:$E$201,Uebersetzungen!$B$2+1,FALSE)</f>
        <v>Angestellte</v>
      </c>
      <c r="P13" s="133"/>
      <c r="Q13" s="133" t="str">
        <f>VLOOKUP("&lt;SpaltenTitel_8&gt;",Uebersetzungen!$B$3:$E$201,Uebersetzungen!$B$2+1,FALSE)</f>
        <v>Lernende in der dualen beruflichen Grundbildung</v>
      </c>
      <c r="R13" s="133"/>
      <c r="S13" s="133" t="str">
        <f>VLOOKUP("&lt;SpaltenTitel_9&gt;",Uebersetzungen!$B$3:$E$201,Uebersetzungen!$B$2+1,FALSE)</f>
        <v>Erwerbslose</v>
      </c>
      <c r="T13" s="133"/>
      <c r="U13" s="133" t="str">
        <f>VLOOKUP("&lt;SpaltenTitel_10&gt;",Uebersetzungen!$B$3:$E$201,Uebersetzungen!$B$2+1,FALSE)</f>
        <v>Nichterwerbspersonen</v>
      </c>
      <c r="V13" s="134"/>
    </row>
    <row r="14" spans="1:22" ht="38.25" customHeight="1" thickBot="1" x14ac:dyDescent="0.25">
      <c r="A14" s="31"/>
      <c r="B14" s="31"/>
      <c r="C14" s="100" t="str">
        <f>VLOOKUP("&lt;SpaltenTitel_1.1&gt;",Uebersetzungen!$B$3:$E$201,Uebersetzungen!$B$2+1,FALSE)</f>
        <v>Anzahl Personen</v>
      </c>
      <c r="D14" s="101" t="str">
        <f>VLOOKUP("&lt;SpaltenTitel_1.2&gt;",Uebersetzungen!$B$3:$E$201,Uebersetzungen!$B$2+1,FALSE)</f>
        <v>Vertrauens- intervall:          ± (in %)</v>
      </c>
      <c r="E14" s="102" t="str">
        <f>VLOOKUP("&lt;SpaltenTitel_1.1&gt;",Uebersetzungen!$B$3:$E$201,Uebersetzungen!$B$2+1,FALSE)</f>
        <v>Anzahl Personen</v>
      </c>
      <c r="F14" s="103" t="str">
        <f>VLOOKUP("&lt;SpaltenTitel_1.2&gt;",Uebersetzungen!$B$3:$E$201,Uebersetzungen!$B$2+1,FALSE)</f>
        <v>Vertrauens- intervall:          ± (in %)</v>
      </c>
      <c r="G14" s="104" t="str">
        <f>VLOOKUP("&lt;SpaltenTitel_1.1&gt;",Uebersetzungen!$B$3:$E$201,Uebersetzungen!$B$2+1,FALSE)</f>
        <v>Anzahl Personen</v>
      </c>
      <c r="H14" s="105" t="str">
        <f>VLOOKUP("&lt;SpaltenTitel_1.2&gt;",Uebersetzungen!$B$3:$E$201,Uebersetzungen!$B$2+1,FALSE)</f>
        <v>Vertrauens- intervall:          ± (in %)</v>
      </c>
      <c r="I14" s="104" t="str">
        <f>VLOOKUP("&lt;SpaltenTitel_1.1&gt;",Uebersetzungen!$B$3:$E$201,Uebersetzungen!$B$2+1,FALSE)</f>
        <v>Anzahl Personen</v>
      </c>
      <c r="J14" s="103" t="str">
        <f>VLOOKUP("&lt;SpaltenTitel_1.2&gt;",Uebersetzungen!$B$3:$E$201,Uebersetzungen!$B$2+1,FALSE)</f>
        <v>Vertrauens- intervall:          ± (in %)</v>
      </c>
      <c r="K14" s="102" t="str">
        <f>VLOOKUP("&lt;SpaltenTitel_1.1&gt;",Uebersetzungen!$B$3:$E$201,Uebersetzungen!$B$2+1,FALSE)</f>
        <v>Anzahl Personen</v>
      </c>
      <c r="L14" s="103" t="str">
        <f>VLOOKUP("&lt;SpaltenTitel_1.2&gt;",Uebersetzungen!$B$3:$E$201,Uebersetzungen!$B$2+1,FALSE)</f>
        <v>Vertrauens- intervall:          ± (in %)</v>
      </c>
      <c r="M14" s="104" t="str">
        <f>VLOOKUP("&lt;SpaltenTitel_1.1&gt;",Uebersetzungen!$B$3:$E$201,Uebersetzungen!$B$2+1,FALSE)</f>
        <v>Anzahl Personen</v>
      </c>
      <c r="N14" s="105" t="str">
        <f>VLOOKUP("&lt;SpaltenTitel_1.2&gt;",Uebersetzungen!$B$3:$E$201,Uebersetzungen!$B$2+1,FALSE)</f>
        <v>Vertrauens- intervall:          ± (in %)</v>
      </c>
      <c r="O14" s="104" t="str">
        <f>VLOOKUP("&lt;SpaltenTitel_1.1&gt;",Uebersetzungen!$B$3:$E$201,Uebersetzungen!$B$2+1,FALSE)</f>
        <v>Anzahl Personen</v>
      </c>
      <c r="P14" s="103" t="str">
        <f>VLOOKUP("&lt;SpaltenTitel_1.2&gt;",Uebersetzungen!$B$3:$E$201,Uebersetzungen!$B$2+1,FALSE)</f>
        <v>Vertrauens- intervall:          ± (in %)</v>
      </c>
      <c r="Q14" s="102" t="str">
        <f>VLOOKUP("&lt;SpaltenTitel_1.1&gt;",Uebersetzungen!$B$3:$E$201,Uebersetzungen!$B$2+1,FALSE)</f>
        <v>Anzahl Personen</v>
      </c>
      <c r="R14" s="103" t="str">
        <f>VLOOKUP("&lt;SpaltenTitel_1.2&gt;",Uebersetzungen!$B$3:$E$201,Uebersetzungen!$B$2+1,FALSE)</f>
        <v>Vertrauens- intervall:          ± (in %)</v>
      </c>
      <c r="S14" s="104" t="str">
        <f>VLOOKUP("&lt;SpaltenTitel_1.1&gt;",Uebersetzungen!$B$3:$E$201,Uebersetzungen!$B$2+1,FALSE)</f>
        <v>Anzahl Personen</v>
      </c>
      <c r="T14" s="105" t="str">
        <f>VLOOKUP("&lt;SpaltenTitel_1.2&gt;",Uebersetzungen!$B$3:$E$201,Uebersetzungen!$B$2+1,FALSE)</f>
        <v>Vertrauens- intervall:          ± (in %)</v>
      </c>
      <c r="U14" s="104" t="str">
        <f>VLOOKUP("&lt;SpaltenTitel_1.1&gt;",Uebersetzungen!$B$3:$E$201,Uebersetzungen!$B$2+1,FALSE)</f>
        <v>Anzahl Personen</v>
      </c>
      <c r="V14" s="107" t="str">
        <f>VLOOKUP("&lt;SpaltenTitel_1.2&gt;",Uebersetzungen!$B$3:$E$201,Uebersetzungen!$B$2+1,FALSE)</f>
        <v>Vertrauens- intervall:          ± (in %)</v>
      </c>
    </row>
    <row r="15" spans="1:22" x14ac:dyDescent="0.2">
      <c r="A15" s="146" t="str">
        <f>VLOOKUP("&lt;T2Zeilentitel_1&gt;",Uebersetzungen!$B$3:$E$200,Uebersetzungen!$B$2+1,FALSE)</f>
        <v>Total</v>
      </c>
      <c r="B15" s="147"/>
      <c r="C15" s="74">
        <v>175976.99999999552</v>
      </c>
      <c r="D15" s="75">
        <v>0.39675788464814371</v>
      </c>
      <c r="E15" s="61">
        <v>112474.73398520272</v>
      </c>
      <c r="F15" s="75">
        <v>2.1856328301696677</v>
      </c>
      <c r="G15" s="74">
        <v>110190.32702338899</v>
      </c>
      <c r="H15" s="60">
        <v>2.2402588065625419</v>
      </c>
      <c r="I15" s="74">
        <v>9597.8682009606982</v>
      </c>
      <c r="J15" s="75">
        <v>11.538681880386878</v>
      </c>
      <c r="K15" s="61">
        <v>5917.8550900312302</v>
      </c>
      <c r="L15" s="75">
        <v>15.302970929994604</v>
      </c>
      <c r="M15" s="74">
        <v>7643.4933331475422</v>
      </c>
      <c r="N15" s="60">
        <v>12.906923967794663</v>
      </c>
      <c r="O15" s="74">
        <v>84395.368549771491</v>
      </c>
      <c r="P15" s="75">
        <v>2.9909355136944007</v>
      </c>
      <c r="Q15" s="61">
        <v>2635.7418494780118</v>
      </c>
      <c r="R15" s="75">
        <v>22.72247569772259</v>
      </c>
      <c r="S15" s="74">
        <v>2284.4069618137946</v>
      </c>
      <c r="T15" s="60">
        <v>25.177421180026492</v>
      </c>
      <c r="U15" s="74">
        <v>63502.266014792767</v>
      </c>
      <c r="V15" s="86">
        <v>3.6135246280747109</v>
      </c>
    </row>
    <row r="16" spans="1:22" x14ac:dyDescent="0.2">
      <c r="A16" s="148" t="str">
        <f>VLOOKUP("&lt;T2Zeilentitel_2&gt;",Uebersetzungen!$B$3:$E$200,Uebersetzungen!$B$2+1,FALSE)</f>
        <v>Geschlecht</v>
      </c>
      <c r="B16" s="34" t="str">
        <f>VLOOKUP("&lt;T2Zeilentitel_2.1&gt;",Uebersetzungen!$B$3:$E$200,Uebersetzungen!$B$2+1,FALSE)</f>
        <v>Männer</v>
      </c>
      <c r="C16" s="110">
        <v>88469.999999996915</v>
      </c>
      <c r="D16" s="111">
        <v>2.8767215425128234</v>
      </c>
      <c r="E16" s="112">
        <v>59955.648932733777</v>
      </c>
      <c r="F16" s="111">
        <v>4.065525488303507</v>
      </c>
      <c r="G16" s="110">
        <v>58597.941680924807</v>
      </c>
      <c r="H16" s="113">
        <v>4.1288726366882589</v>
      </c>
      <c r="I16" s="110">
        <v>5317.2245697317248</v>
      </c>
      <c r="J16" s="111">
        <v>15.778688671320875</v>
      </c>
      <c r="K16" s="112">
        <v>2939.8630675849731</v>
      </c>
      <c r="L16" s="111">
        <v>22.513166030000182</v>
      </c>
      <c r="M16" s="110">
        <v>5520.295777119818</v>
      </c>
      <c r="N16" s="113">
        <v>15.336464164668643</v>
      </c>
      <c r="O16" s="110">
        <v>43373.096248536516</v>
      </c>
      <c r="P16" s="111">
        <v>5.1104625116394642</v>
      </c>
      <c r="Q16" s="114">
        <v>1447.4620179517526</v>
      </c>
      <c r="R16" s="115">
        <v>31.296019478169818</v>
      </c>
      <c r="S16" s="116">
        <v>1357.7072518089792</v>
      </c>
      <c r="T16" s="117">
        <v>33.618614264247157</v>
      </c>
      <c r="U16" s="110">
        <v>28514.351067263153</v>
      </c>
      <c r="V16" s="118">
        <v>6.2004487846840757</v>
      </c>
    </row>
    <row r="17" spans="1:22" x14ac:dyDescent="0.2">
      <c r="A17" s="149"/>
      <c r="B17" s="95" t="str">
        <f>VLOOKUP("&lt;T2Zeilentitel_2.2&gt;",Uebersetzungen!$B$3:$E$200,Uebersetzungen!$B$2+1,FALSE)</f>
        <v>Frauen</v>
      </c>
      <c r="C17" s="56">
        <v>87506.999999998618</v>
      </c>
      <c r="D17" s="119">
        <v>2.7377556760568291</v>
      </c>
      <c r="E17" s="120">
        <v>52519.085052468945</v>
      </c>
      <c r="F17" s="119">
        <v>4.2029304847318283</v>
      </c>
      <c r="G17" s="56">
        <v>51592.385342464178</v>
      </c>
      <c r="H17" s="121">
        <v>4.2555607779821347</v>
      </c>
      <c r="I17" s="56">
        <v>4280.6436312289734</v>
      </c>
      <c r="J17" s="119">
        <v>17.435917204856867</v>
      </c>
      <c r="K17" s="120">
        <v>2977.9920224462571</v>
      </c>
      <c r="L17" s="119">
        <v>21.113464121499021</v>
      </c>
      <c r="M17" s="56">
        <v>2123.1975560277237</v>
      </c>
      <c r="N17" s="121">
        <v>24.665377895826975</v>
      </c>
      <c r="O17" s="56">
        <v>41022.272301234967</v>
      </c>
      <c r="P17" s="119">
        <v>4.9684689160291224</v>
      </c>
      <c r="Q17" s="122">
        <v>1188.2798315262592</v>
      </c>
      <c r="R17" s="123">
        <v>33.247918226496125</v>
      </c>
      <c r="S17" s="124">
        <v>926.69971000481519</v>
      </c>
      <c r="T17" s="125">
        <v>38.055558013299787</v>
      </c>
      <c r="U17" s="56">
        <v>34987.914947529614</v>
      </c>
      <c r="V17" s="126">
        <v>5.4613004590097143</v>
      </c>
    </row>
    <row r="18" spans="1:22" x14ac:dyDescent="0.2">
      <c r="A18" s="142" t="str">
        <f>VLOOKUP("&lt;T2Zeilentitel_3&gt;",Uebersetzungen!$B$3:$E$200,Uebersetzungen!$B$2+1,FALSE)</f>
        <v>Alter</v>
      </c>
      <c r="B18" s="34" t="str">
        <f>VLOOKUP("&lt;T2Zeilentitel_3.1&gt;",Uebersetzungen!$B$3:$E$200,Uebersetzungen!$B$2+1,FALSE)</f>
        <v>15-24</v>
      </c>
      <c r="C18" s="17">
        <v>18707.999999999491</v>
      </c>
      <c r="D18" s="76">
        <v>8.3015949454829361</v>
      </c>
      <c r="E18" s="63">
        <v>10033.278515469086</v>
      </c>
      <c r="F18" s="76">
        <v>11.709916970408008</v>
      </c>
      <c r="G18" s="17">
        <v>9848.5169580781549</v>
      </c>
      <c r="H18" s="62">
        <v>11.830201756179958</v>
      </c>
      <c r="I18" s="54">
        <v>265.55044467815912</v>
      </c>
      <c r="J18" s="84">
        <v>84.607480672961145</v>
      </c>
      <c r="K18" s="66">
        <v>609.5936181059966</v>
      </c>
      <c r="L18" s="84">
        <v>48.45710507508182</v>
      </c>
      <c r="M18" s="17" t="s">
        <v>330</v>
      </c>
      <c r="N18" s="62" t="s">
        <v>330</v>
      </c>
      <c r="O18" s="17">
        <v>6519.6601887856059</v>
      </c>
      <c r="P18" s="76">
        <v>14.781633325343334</v>
      </c>
      <c r="Q18" s="63">
        <v>2415.6796255602162</v>
      </c>
      <c r="R18" s="76">
        <v>23.493887823267166</v>
      </c>
      <c r="S18" s="54">
        <v>184.76155739093264</v>
      </c>
      <c r="T18" s="65">
        <v>86.705201971320719</v>
      </c>
      <c r="U18" s="17">
        <v>8674.7214845304006</v>
      </c>
      <c r="V18" s="87">
        <v>12.4345045374767</v>
      </c>
    </row>
    <row r="19" spans="1:22" x14ac:dyDescent="0.2">
      <c r="A19" s="143"/>
      <c r="B19" s="96" t="str">
        <f>VLOOKUP("&lt;T2Zeilentitel_3.2&gt;",Uebersetzungen!$B$3:$E$200,Uebersetzungen!$B$2+1,FALSE)</f>
        <v>25-44</v>
      </c>
      <c r="C19" s="17">
        <v>51762.999999998632</v>
      </c>
      <c r="D19" s="76">
        <v>4.5313758844237224</v>
      </c>
      <c r="E19" s="63">
        <v>47372.954880250465</v>
      </c>
      <c r="F19" s="76">
        <v>4.8032964124652979</v>
      </c>
      <c r="G19" s="17">
        <v>46221.52022442688</v>
      </c>
      <c r="H19" s="62">
        <v>4.8751920230804817</v>
      </c>
      <c r="I19" s="17">
        <v>2341.1824656011258</v>
      </c>
      <c r="J19" s="76">
        <v>24.331792533855129</v>
      </c>
      <c r="K19" s="63">
        <v>2588.0863303168353</v>
      </c>
      <c r="L19" s="76">
        <v>24.005243230557756</v>
      </c>
      <c r="M19" s="17">
        <v>2351.8662466805495</v>
      </c>
      <c r="N19" s="62">
        <v>24.504933901439504</v>
      </c>
      <c r="O19" s="17">
        <v>38766.514622705712</v>
      </c>
      <c r="P19" s="76">
        <v>5.4551159427105453</v>
      </c>
      <c r="Q19" s="63" t="s">
        <v>330</v>
      </c>
      <c r="R19" s="76" t="s">
        <v>330</v>
      </c>
      <c r="S19" s="53">
        <v>1151.4346558236057</v>
      </c>
      <c r="T19" s="65">
        <v>36.90896906409624</v>
      </c>
      <c r="U19" s="17">
        <v>4390.0451197481025</v>
      </c>
      <c r="V19" s="87">
        <v>18.209946731905049</v>
      </c>
    </row>
    <row r="20" spans="1:22" x14ac:dyDescent="0.2">
      <c r="A20" s="143"/>
      <c r="B20" s="96" t="str">
        <f>VLOOKUP("&lt;T2Zeilentitel_3.3&gt;",Uebersetzungen!$B$3:$E$200,Uebersetzungen!$B$2+1,FALSE)</f>
        <v>45-64</v>
      </c>
      <c r="C20" s="17">
        <v>59050.999999998647</v>
      </c>
      <c r="D20" s="76">
        <v>3.8862069883361174</v>
      </c>
      <c r="E20" s="63">
        <v>50505.748989549269</v>
      </c>
      <c r="F20" s="76">
        <v>4.3372455493847717</v>
      </c>
      <c r="G20" s="17">
        <v>49557.538240950016</v>
      </c>
      <c r="H20" s="62">
        <v>4.3945601689125731</v>
      </c>
      <c r="I20" s="17">
        <v>5528.0454573765055</v>
      </c>
      <c r="J20" s="76">
        <v>15.305558881199529</v>
      </c>
      <c r="K20" s="63">
        <v>2287.0275008138128</v>
      </c>
      <c r="L20" s="76">
        <v>24.346041262135959</v>
      </c>
      <c r="M20" s="17">
        <v>4502.9460811404088</v>
      </c>
      <c r="N20" s="62">
        <v>16.748318128375697</v>
      </c>
      <c r="O20" s="17">
        <v>37193.327536824232</v>
      </c>
      <c r="P20" s="76">
        <v>5.3167301816233401</v>
      </c>
      <c r="Q20" s="63" t="s">
        <v>330</v>
      </c>
      <c r="R20" s="76" t="s">
        <v>330</v>
      </c>
      <c r="S20" s="54">
        <v>948.21074859925648</v>
      </c>
      <c r="T20" s="65">
        <v>37.549620214685305</v>
      </c>
      <c r="U20" s="17">
        <v>8545.2510104493231</v>
      </c>
      <c r="V20" s="87">
        <v>12.393732102421577</v>
      </c>
    </row>
    <row r="21" spans="1:22" x14ac:dyDescent="0.2">
      <c r="A21" s="144"/>
      <c r="B21" s="95" t="str">
        <f>VLOOKUP("&lt;T2Zeilentitel_3.4&gt;",Uebersetzungen!$B$3:$E$200,Uebersetzungen!$B$2+1,FALSE)</f>
        <v>65 und mehr</v>
      </c>
      <c r="C21" s="17">
        <v>46454.999999998785</v>
      </c>
      <c r="D21" s="76">
        <v>4.40915179190395</v>
      </c>
      <c r="E21" s="63">
        <v>4562.7515999338912</v>
      </c>
      <c r="F21" s="76">
        <v>16.184333622379445</v>
      </c>
      <c r="G21" s="17">
        <v>4562.7515999338912</v>
      </c>
      <c r="H21" s="62">
        <v>16.184333622379445</v>
      </c>
      <c r="I21" s="53">
        <v>1463.0898333049079</v>
      </c>
      <c r="J21" s="84">
        <v>28.70850175591033</v>
      </c>
      <c r="K21" s="66">
        <v>433.14764079458428</v>
      </c>
      <c r="L21" s="84">
        <v>53.612780834304459</v>
      </c>
      <c r="M21" s="54">
        <v>750.64792437840333</v>
      </c>
      <c r="N21" s="65">
        <v>40.23575385715462</v>
      </c>
      <c r="O21" s="17">
        <v>1915.8662014559911</v>
      </c>
      <c r="P21" s="76">
        <v>25.277742227773508</v>
      </c>
      <c r="Q21" s="63" t="s">
        <v>330</v>
      </c>
      <c r="R21" s="76" t="s">
        <v>330</v>
      </c>
      <c r="S21" s="17" t="s">
        <v>330</v>
      </c>
      <c r="T21" s="62" t="s">
        <v>330</v>
      </c>
      <c r="U21" s="17">
        <v>41892.248400064898</v>
      </c>
      <c r="V21" s="87">
        <v>4.7380318750374677</v>
      </c>
    </row>
    <row r="22" spans="1:22" x14ac:dyDescent="0.2">
      <c r="A22" s="143" t="str">
        <f>VLOOKUP("&lt;T2Zeilentitel_4&gt;",Uebersetzungen!$B$3:$E$200,Uebersetzungen!$B$2+1,FALSE)</f>
        <v>Staatsangehörigkeit</v>
      </c>
      <c r="B22" s="97" t="str">
        <f>VLOOKUP("&lt;T2Zeilentitel_4.1&gt;",Uebersetzungen!$B$3:$E$200,Uebersetzungen!$B$2+1,FALSE)</f>
        <v>Schweiz</v>
      </c>
      <c r="C22" s="110">
        <v>139479.99999999526</v>
      </c>
      <c r="D22" s="111">
        <v>1.3160876423396135</v>
      </c>
      <c r="E22" s="112">
        <v>84887.74275403205</v>
      </c>
      <c r="F22" s="111">
        <v>2.8147552927349335</v>
      </c>
      <c r="G22" s="110">
        <v>83599.206476964784</v>
      </c>
      <c r="H22" s="113">
        <v>2.853688253859469</v>
      </c>
      <c r="I22" s="110">
        <v>8395.1365010886348</v>
      </c>
      <c r="J22" s="111">
        <v>12.242874563053913</v>
      </c>
      <c r="K22" s="112">
        <v>4237.9531927649296</v>
      </c>
      <c r="L22" s="111">
        <v>17.785641264437704</v>
      </c>
      <c r="M22" s="110">
        <v>6451.0139192816805</v>
      </c>
      <c r="N22" s="113">
        <v>13.923229672897101</v>
      </c>
      <c r="O22" s="110">
        <v>62351.322556507133</v>
      </c>
      <c r="P22" s="111">
        <v>3.6684011862558363</v>
      </c>
      <c r="Q22" s="112">
        <v>2163.7803073221671</v>
      </c>
      <c r="R22" s="111">
        <v>24.25896514390541</v>
      </c>
      <c r="S22" s="116">
        <v>1288.5362770672559</v>
      </c>
      <c r="T22" s="117">
        <v>33.014994878066432</v>
      </c>
      <c r="U22" s="110">
        <v>54592.257245963454</v>
      </c>
      <c r="V22" s="118">
        <v>3.9634241282072527</v>
      </c>
    </row>
    <row r="23" spans="1:22" x14ac:dyDescent="0.2">
      <c r="A23" s="143"/>
      <c r="B23" s="97" t="str">
        <f>VLOOKUP("&lt;T2Zeilentitel_4.2&gt;",Uebersetzungen!$B$3:$E$200,Uebersetzungen!$B$2+1,FALSE)</f>
        <v>EU und EFTA</v>
      </c>
      <c r="C23" s="17">
        <v>28464.778974147019</v>
      </c>
      <c r="D23" s="76">
        <v>6.8848591999867113</v>
      </c>
      <c r="E23" s="63">
        <v>22649.789505402696</v>
      </c>
      <c r="F23" s="76">
        <v>7.9163593429701962</v>
      </c>
      <c r="G23" s="17">
        <v>21955.405747782013</v>
      </c>
      <c r="H23" s="62">
        <v>8.0575973566114207</v>
      </c>
      <c r="I23" s="54">
        <v>839.82161206631781</v>
      </c>
      <c r="J23" s="84">
        <v>40.63376278348278</v>
      </c>
      <c r="K23" s="64">
        <v>1036.992950910718</v>
      </c>
      <c r="L23" s="84">
        <v>38.204121595370879</v>
      </c>
      <c r="M23" s="53">
        <v>1039.1112328071097</v>
      </c>
      <c r="N23" s="65">
        <v>36.880430089612489</v>
      </c>
      <c r="O23" s="17">
        <v>18626.741751454803</v>
      </c>
      <c r="P23" s="76">
        <v>8.8830183016162803</v>
      </c>
      <c r="Q23" s="66">
        <v>412.73820054303155</v>
      </c>
      <c r="R23" s="84">
        <v>64.851216763592916</v>
      </c>
      <c r="S23" s="54">
        <v>694.38375762068813</v>
      </c>
      <c r="T23" s="65">
        <v>47.425442342252111</v>
      </c>
      <c r="U23" s="17">
        <v>5814.9894687443511</v>
      </c>
      <c r="V23" s="87">
        <v>15.621951986596272</v>
      </c>
    </row>
    <row r="24" spans="1:22" x14ac:dyDescent="0.2">
      <c r="A24" s="143"/>
      <c r="B24" s="97" t="str">
        <f>VLOOKUP("&lt;T2Zeilentitel_4.3&gt;",Uebersetzungen!$B$3:$E$200,Uebersetzungen!$B$2+1,FALSE)</f>
        <v>Andere europäische Staaten</v>
      </c>
      <c r="C24" s="17">
        <v>4405.4967638607159</v>
      </c>
      <c r="D24" s="76">
        <v>19.78768188949455</v>
      </c>
      <c r="E24" s="63">
        <v>2451.2024048906355</v>
      </c>
      <c r="F24" s="76">
        <v>26.977652246760542</v>
      </c>
      <c r="G24" s="17">
        <v>2356.4526433346055</v>
      </c>
      <c r="H24" s="62">
        <v>27.523326352727643</v>
      </c>
      <c r="I24" s="54">
        <v>295.78886334735432</v>
      </c>
      <c r="J24" s="84">
        <v>83.464818621774597</v>
      </c>
      <c r="K24" s="66">
        <v>227.03638801726663</v>
      </c>
      <c r="L24" s="84">
        <v>88.327723611653923</v>
      </c>
      <c r="M24" s="17" t="s">
        <v>330</v>
      </c>
      <c r="N24" s="62" t="s">
        <v>330</v>
      </c>
      <c r="O24" s="53">
        <v>1751.5461128352622</v>
      </c>
      <c r="P24" s="84">
        <v>31.719626625977359</v>
      </c>
      <c r="Q24" s="63" t="s">
        <v>330</v>
      </c>
      <c r="R24" s="76" t="s">
        <v>330</v>
      </c>
      <c r="S24" s="17" t="s">
        <v>330</v>
      </c>
      <c r="T24" s="62" t="s">
        <v>330</v>
      </c>
      <c r="U24" s="53">
        <v>1954.2943589700806</v>
      </c>
      <c r="V24" s="108">
        <v>29.390605270265624</v>
      </c>
    </row>
    <row r="25" spans="1:22" x14ac:dyDescent="0.2">
      <c r="A25" s="143"/>
      <c r="B25" s="97" t="str">
        <f>VLOOKUP("&lt;T2Zeilentitel_4.4&gt;",Uebersetzungen!$B$3:$E$200,Uebersetzungen!$B$2+1,FALSE)</f>
        <v>Andere Staaten</v>
      </c>
      <c r="C25" s="17">
        <v>3626.7242619924309</v>
      </c>
      <c r="D25" s="76">
        <v>21.364364793245247</v>
      </c>
      <c r="E25" s="63">
        <v>2485.9993208776214</v>
      </c>
      <c r="F25" s="76">
        <v>25.70545284401279</v>
      </c>
      <c r="G25" s="17">
        <v>2279.2621553078002</v>
      </c>
      <c r="H25" s="62">
        <v>27.130486215850336</v>
      </c>
      <c r="I25" s="17" t="s">
        <v>330</v>
      </c>
      <c r="J25" s="76" t="s">
        <v>330</v>
      </c>
      <c r="K25" s="66">
        <v>415.87255833831551</v>
      </c>
      <c r="L25" s="84">
        <v>62.13007875251958</v>
      </c>
      <c r="M25" s="17" t="s">
        <v>330</v>
      </c>
      <c r="N25" s="62" t="s">
        <v>330</v>
      </c>
      <c r="O25" s="53">
        <v>1665.7581289742532</v>
      </c>
      <c r="P25" s="84">
        <v>31.582066198192891</v>
      </c>
      <c r="Q25" s="63" t="s">
        <v>330</v>
      </c>
      <c r="R25" s="76" t="s">
        <v>330</v>
      </c>
      <c r="S25" s="54">
        <v>206.73716556982095</v>
      </c>
      <c r="T25" s="65">
        <v>79.031047948886652</v>
      </c>
      <c r="U25" s="53">
        <v>1140.7249411148098</v>
      </c>
      <c r="V25" s="108">
        <v>38.838412736123011</v>
      </c>
    </row>
    <row r="26" spans="1:22" x14ac:dyDescent="0.2">
      <c r="A26" s="144"/>
      <c r="B26" s="98" t="str">
        <f>VLOOKUP("&lt;T2Zeilentitel_4.5&gt;",Uebersetzungen!$B$3:$E$200,Uebersetzungen!$B$2+1,FALSE)</f>
        <v>Staatsangehörigkeit unbekannt</v>
      </c>
      <c r="C26" s="56" t="s">
        <v>330</v>
      </c>
      <c r="D26" s="119" t="s">
        <v>330</v>
      </c>
      <c r="E26" s="120" t="s">
        <v>330</v>
      </c>
      <c r="F26" s="119" t="s">
        <v>330</v>
      </c>
      <c r="G26" s="56" t="s">
        <v>330</v>
      </c>
      <c r="H26" s="121" t="s">
        <v>330</v>
      </c>
      <c r="I26" s="56" t="s">
        <v>330</v>
      </c>
      <c r="J26" s="119" t="s">
        <v>330</v>
      </c>
      <c r="K26" s="120" t="s">
        <v>330</v>
      </c>
      <c r="L26" s="119" t="s">
        <v>330</v>
      </c>
      <c r="M26" s="56" t="s">
        <v>330</v>
      </c>
      <c r="N26" s="121" t="s">
        <v>330</v>
      </c>
      <c r="O26" s="56" t="s">
        <v>330</v>
      </c>
      <c r="P26" s="119" t="s">
        <v>330</v>
      </c>
      <c r="Q26" s="120" t="s">
        <v>330</v>
      </c>
      <c r="R26" s="119" t="s">
        <v>330</v>
      </c>
      <c r="S26" s="56" t="s">
        <v>330</v>
      </c>
      <c r="T26" s="121" t="s">
        <v>330</v>
      </c>
      <c r="U26" s="56" t="s">
        <v>330</v>
      </c>
      <c r="V26" s="126" t="s">
        <v>330</v>
      </c>
    </row>
    <row r="27" spans="1:22" x14ac:dyDescent="0.2">
      <c r="A27" s="142" t="str">
        <f>VLOOKUP("&lt;T2Zeilentitel_5&gt;",Uebersetzungen!$B$3:$E$200,Uebersetzungen!$B$2+1,FALSE)</f>
        <v>Migrationsstatus</v>
      </c>
      <c r="B27" s="34" t="str">
        <f>VLOOKUP("&lt;T2Zeilentitel_5.1&gt;",Uebersetzungen!$B$3:$E$200,Uebersetzungen!$B$2+1,FALSE)</f>
        <v>Schweizer/innen ohne Migrationshintergrund</v>
      </c>
      <c r="C27" s="17">
        <v>122172.6410747559</v>
      </c>
      <c r="D27" s="76">
        <v>1.7493769218530266</v>
      </c>
      <c r="E27" s="63">
        <v>74487.741293410625</v>
      </c>
      <c r="F27" s="76">
        <v>3.1807125037340076</v>
      </c>
      <c r="G27" s="17">
        <v>73443.81572958114</v>
      </c>
      <c r="H27" s="62">
        <v>3.2167716354785805</v>
      </c>
      <c r="I27" s="17">
        <v>7282.1740729339217</v>
      </c>
      <c r="J27" s="76">
        <v>13.197033296824467</v>
      </c>
      <c r="K27" s="63">
        <v>3689.5843744380686</v>
      </c>
      <c r="L27" s="76">
        <v>19.18515970579363</v>
      </c>
      <c r="M27" s="17">
        <v>5501.0927712143384</v>
      </c>
      <c r="N27" s="62">
        <v>15.093430614011616</v>
      </c>
      <c r="O27" s="17">
        <v>54976.093336530073</v>
      </c>
      <c r="P27" s="76">
        <v>4.0399885424060225</v>
      </c>
      <c r="Q27" s="63">
        <v>1994.8711744645684</v>
      </c>
      <c r="R27" s="76">
        <v>25.296364972930544</v>
      </c>
      <c r="S27" s="53">
        <v>1043.9255638294721</v>
      </c>
      <c r="T27" s="65">
        <v>36.847314505914447</v>
      </c>
      <c r="U27" s="17">
        <v>47684.899781345448</v>
      </c>
      <c r="V27" s="87">
        <v>4.3668004656917327</v>
      </c>
    </row>
    <row r="28" spans="1:22" x14ac:dyDescent="0.2">
      <c r="A28" s="143"/>
      <c r="B28" s="97" t="str">
        <f>VLOOKUP("&lt;T2Zeilentitel_5.2&gt;",Uebersetzungen!$B$3:$E$200,Uebersetzungen!$B$2+1,FALSE)</f>
        <v>Schweizer/innen mit Migrationshintergrund</v>
      </c>
      <c r="C28" s="17">
        <v>16792.664144571514</v>
      </c>
      <c r="D28" s="76">
        <v>8.3186880237247607</v>
      </c>
      <c r="E28" s="63">
        <v>10088.477547911576</v>
      </c>
      <c r="F28" s="76">
        <v>11.005782737594398</v>
      </c>
      <c r="G28" s="17">
        <v>9863.6264302419731</v>
      </c>
      <c r="H28" s="62">
        <v>11.125390468741619</v>
      </c>
      <c r="I28" s="53">
        <v>1071.8293927190089</v>
      </c>
      <c r="J28" s="84">
        <v>34.763324999131811</v>
      </c>
      <c r="K28" s="66">
        <v>548.36881832686151</v>
      </c>
      <c r="L28" s="84">
        <v>48.29751830616997</v>
      </c>
      <c r="M28" s="54">
        <v>916.13938174452494</v>
      </c>
      <c r="N28" s="65">
        <v>37.975939302958807</v>
      </c>
      <c r="O28" s="17">
        <v>7158.3797045939764</v>
      </c>
      <c r="P28" s="76">
        <v>13.14876838280057</v>
      </c>
      <c r="Q28" s="66">
        <v>168.90913285759879</v>
      </c>
      <c r="R28" s="84">
        <v>86.587781139447259</v>
      </c>
      <c r="S28" s="54">
        <v>224.85111766960239</v>
      </c>
      <c r="T28" s="65">
        <v>79.491855011540025</v>
      </c>
      <c r="U28" s="17">
        <v>6704.186596659938</v>
      </c>
      <c r="V28" s="87">
        <v>13.515964321607839</v>
      </c>
    </row>
    <row r="29" spans="1:22" x14ac:dyDescent="0.2">
      <c r="A29" s="143"/>
      <c r="B29" s="97" t="str">
        <f>VLOOKUP("&lt;T2Zeilentitel_5.3&gt;",Uebersetzungen!$B$3:$E$200,Uebersetzungen!$B$2+1,FALSE)</f>
        <v>Ausländer/innen der ersten Generation</v>
      </c>
      <c r="C29" s="17">
        <v>34475.342092880514</v>
      </c>
      <c r="D29" s="76">
        <v>6.2304465488433722</v>
      </c>
      <c r="E29" s="63">
        <v>26197.246059187972</v>
      </c>
      <c r="F29" s="76">
        <v>7.357343415929595</v>
      </c>
      <c r="G29" s="17">
        <v>25201.375374441428</v>
      </c>
      <c r="H29" s="62">
        <v>7.5300802586595257</v>
      </c>
      <c r="I29" s="53">
        <v>1048.9369962819153</v>
      </c>
      <c r="J29" s="84">
        <v>37.006516478173403</v>
      </c>
      <c r="K29" s="64">
        <v>1608.2274878243702</v>
      </c>
      <c r="L29" s="84">
        <v>31.293813436747037</v>
      </c>
      <c r="M29" s="53">
        <v>1192.479413865861</v>
      </c>
      <c r="N29" s="65">
        <v>35.397144340809042</v>
      </c>
      <c r="O29" s="17">
        <v>21008.249460849653</v>
      </c>
      <c r="P29" s="76">
        <v>8.3779206616430955</v>
      </c>
      <c r="Q29" s="66">
        <v>343.48201561959951</v>
      </c>
      <c r="R29" s="84">
        <v>73.70762795165669</v>
      </c>
      <c r="S29" s="54">
        <v>995.87068474653904</v>
      </c>
      <c r="T29" s="65">
        <v>39.11963359929792</v>
      </c>
      <c r="U29" s="17">
        <v>8278.0960336925764</v>
      </c>
      <c r="V29" s="87">
        <v>13.383139452144421</v>
      </c>
    </row>
    <row r="30" spans="1:22" x14ac:dyDescent="0.2">
      <c r="A30" s="143"/>
      <c r="B30" s="97" t="str">
        <f>VLOOKUP("&lt;T2Zeilentitel_5.4&gt;",Uebersetzungen!$B$3:$E$200,Uebersetzungen!$B$2+1,FALSE)</f>
        <v>Ausländer/innen der zweiten und höheren Generation</v>
      </c>
      <c r="C30" s="53">
        <v>2021.657907119672</v>
      </c>
      <c r="D30" s="84">
        <v>28.076510886061921</v>
      </c>
      <c r="E30" s="64">
        <v>1389.745171983008</v>
      </c>
      <c r="F30" s="84">
        <v>33.918032924165047</v>
      </c>
      <c r="G30" s="53">
        <v>1389.745171983008</v>
      </c>
      <c r="H30" s="65">
        <v>33.918032924165047</v>
      </c>
      <c r="I30" s="17" t="s">
        <v>330</v>
      </c>
      <c r="J30" s="76" t="s">
        <v>330</v>
      </c>
      <c r="K30" s="63" t="s">
        <v>330</v>
      </c>
      <c r="L30" s="76" t="s">
        <v>330</v>
      </c>
      <c r="M30" s="17" t="s">
        <v>330</v>
      </c>
      <c r="N30" s="62" t="s">
        <v>330</v>
      </c>
      <c r="O30" s="53">
        <v>1035.7965324146862</v>
      </c>
      <c r="P30" s="84">
        <v>38.315811311452364</v>
      </c>
      <c r="Q30" s="63" t="s">
        <v>330</v>
      </c>
      <c r="R30" s="76" t="s">
        <v>330</v>
      </c>
      <c r="S30" s="17" t="s">
        <v>330</v>
      </c>
      <c r="T30" s="62" t="s">
        <v>330</v>
      </c>
      <c r="U30" s="54">
        <v>631.91273513666363</v>
      </c>
      <c r="V30" s="108">
        <v>50.371929365970615</v>
      </c>
    </row>
    <row r="31" spans="1:22" x14ac:dyDescent="0.2">
      <c r="A31" s="144"/>
      <c r="B31" s="97" t="str">
        <f>VLOOKUP("&lt;T2Zeilentitel_5.5&gt;",Uebersetzungen!$B$3:$E$200,Uebersetzungen!$B$2+1,FALSE)</f>
        <v>Migrationshintergrund unbekannt</v>
      </c>
      <c r="C31" s="54">
        <v>514.69478066784814</v>
      </c>
      <c r="D31" s="84">
        <v>50.328158876178726</v>
      </c>
      <c r="E31" s="66">
        <v>311.52391270974863</v>
      </c>
      <c r="F31" s="84">
        <v>65.379810258637221</v>
      </c>
      <c r="G31" s="54">
        <v>291.76431714156757</v>
      </c>
      <c r="H31" s="65">
        <v>68.577492935730049</v>
      </c>
      <c r="I31" s="17" t="s">
        <v>330</v>
      </c>
      <c r="J31" s="76" t="s">
        <v>330</v>
      </c>
      <c r="K31" s="63" t="s">
        <v>330</v>
      </c>
      <c r="L31" s="76" t="s">
        <v>330</v>
      </c>
      <c r="M31" s="17" t="s">
        <v>330</v>
      </c>
      <c r="N31" s="62" t="s">
        <v>330</v>
      </c>
      <c r="O31" s="54">
        <v>216.84951538304767</v>
      </c>
      <c r="P31" s="84">
        <v>79.180854262787506</v>
      </c>
      <c r="Q31" s="63" t="s">
        <v>330</v>
      </c>
      <c r="R31" s="76" t="s">
        <v>330</v>
      </c>
      <c r="S31" s="17" t="s">
        <v>330</v>
      </c>
      <c r="T31" s="62" t="s">
        <v>330</v>
      </c>
      <c r="U31" s="54">
        <v>203.17086795809959</v>
      </c>
      <c r="V31" s="108">
        <v>78.924693101104538</v>
      </c>
    </row>
    <row r="32" spans="1:22" ht="12.75" customHeight="1" x14ac:dyDescent="0.2">
      <c r="A32" s="142" t="str">
        <f>VLOOKUP("&lt;T2Zeilentitel_6&gt;",Uebersetzungen!$B$3:$E$200,Uebersetzungen!$B$2+1,FALSE)</f>
        <v>Sozioprofessionelle Kategorien</v>
      </c>
      <c r="B32" s="34" t="str">
        <f>VLOOKUP("&lt;T2Zeilentitel_6.1&gt;",Uebersetzungen!$B$3:$E$200,Uebersetzungen!$B$2+1,FALSE)</f>
        <v>Oberstes Management</v>
      </c>
      <c r="C32" s="110">
        <v>2591.8218815840164</v>
      </c>
      <c r="D32" s="111">
        <v>22.096779166267041</v>
      </c>
      <c r="E32" s="112">
        <v>2591.821881584016</v>
      </c>
      <c r="F32" s="111">
        <v>22.096779166267048</v>
      </c>
      <c r="G32" s="110">
        <v>2591.821881584016</v>
      </c>
      <c r="H32" s="113">
        <v>22.096779166267048</v>
      </c>
      <c r="I32" s="110" t="s">
        <v>330</v>
      </c>
      <c r="J32" s="111" t="s">
        <v>330</v>
      </c>
      <c r="K32" s="112" t="s">
        <v>330</v>
      </c>
      <c r="L32" s="111" t="s">
        <v>330</v>
      </c>
      <c r="M32" s="127">
        <v>683.1854040865386</v>
      </c>
      <c r="N32" s="117">
        <v>43.324455906887096</v>
      </c>
      <c r="O32" s="110">
        <v>1770.9316820419651</v>
      </c>
      <c r="P32" s="111">
        <v>26.78733151767236</v>
      </c>
      <c r="Q32" s="112" t="s">
        <v>330</v>
      </c>
      <c r="R32" s="111" t="s">
        <v>330</v>
      </c>
      <c r="S32" s="128" t="s">
        <v>330</v>
      </c>
      <c r="T32" s="129" t="s">
        <v>330</v>
      </c>
      <c r="U32" s="128" t="s">
        <v>330</v>
      </c>
      <c r="V32" s="130" t="s">
        <v>330</v>
      </c>
    </row>
    <row r="33" spans="1:22" x14ac:dyDescent="0.2">
      <c r="A33" s="143"/>
      <c r="B33" s="32" t="str">
        <f>VLOOKUP("&lt;T2Zeilentitel_6.2&gt;",Uebersetzungen!$B$3:$E$200,Uebersetzungen!$B$2+1,FALSE)</f>
        <v>Freie und gleichgestellte Berufe</v>
      </c>
      <c r="C33" s="17">
        <v>2772.6059416691337</v>
      </c>
      <c r="D33" s="76">
        <v>21.257825256075531</v>
      </c>
      <c r="E33" s="63">
        <v>2772.6059416691332</v>
      </c>
      <c r="F33" s="76">
        <v>21.257825256075535</v>
      </c>
      <c r="G33" s="17">
        <v>2772.6059416691332</v>
      </c>
      <c r="H33" s="62">
        <v>21.257825256075535</v>
      </c>
      <c r="I33" s="53">
        <v>1177.8414521900024</v>
      </c>
      <c r="J33" s="84">
        <v>32.656973006594072</v>
      </c>
      <c r="K33" s="63" t="s">
        <v>330</v>
      </c>
      <c r="L33" s="76" t="s">
        <v>330</v>
      </c>
      <c r="M33" s="53">
        <v>1594.7644894791313</v>
      </c>
      <c r="N33" s="65">
        <v>28.201971927102598</v>
      </c>
      <c r="O33" s="17" t="s">
        <v>330</v>
      </c>
      <c r="P33" s="76" t="s">
        <v>330</v>
      </c>
      <c r="Q33" s="63" t="s">
        <v>330</v>
      </c>
      <c r="R33" s="76" t="s">
        <v>330</v>
      </c>
      <c r="S33" s="57" t="s">
        <v>330</v>
      </c>
      <c r="T33" s="99" t="s">
        <v>330</v>
      </c>
      <c r="U33" s="57" t="s">
        <v>330</v>
      </c>
      <c r="V33" s="109" t="s">
        <v>330</v>
      </c>
    </row>
    <row r="34" spans="1:22" x14ac:dyDescent="0.2">
      <c r="A34" s="143"/>
      <c r="B34" s="32" t="str">
        <f>VLOOKUP("&lt;T2Zeilentitel_6.3&gt;",Uebersetzungen!$B$3:$E$200,Uebersetzungen!$B$2+1,FALSE)</f>
        <v>Andere Selbstständige</v>
      </c>
      <c r="C34" s="17">
        <v>13585.627488911188</v>
      </c>
      <c r="D34" s="76">
        <v>9.619342528233382</v>
      </c>
      <c r="E34" s="63">
        <v>13585.627488911183</v>
      </c>
      <c r="F34" s="76">
        <v>9.6193425282333873</v>
      </c>
      <c r="G34" s="17">
        <v>13585.627488911183</v>
      </c>
      <c r="H34" s="62">
        <v>9.6193425282333873</v>
      </c>
      <c r="I34" s="17">
        <v>8252.0580181545502</v>
      </c>
      <c r="J34" s="76">
        <v>12.561782900327444</v>
      </c>
      <c r="K34" s="63" t="s">
        <v>330</v>
      </c>
      <c r="L34" s="76" t="s">
        <v>330</v>
      </c>
      <c r="M34" s="17">
        <v>5333.5694707566381</v>
      </c>
      <c r="N34" s="62">
        <v>15.686490111888252</v>
      </c>
      <c r="O34" s="17" t="s">
        <v>330</v>
      </c>
      <c r="P34" s="76" t="s">
        <v>330</v>
      </c>
      <c r="Q34" s="63" t="s">
        <v>330</v>
      </c>
      <c r="R34" s="76" t="s">
        <v>330</v>
      </c>
      <c r="S34" s="57" t="s">
        <v>330</v>
      </c>
      <c r="T34" s="99" t="s">
        <v>330</v>
      </c>
      <c r="U34" s="57" t="s">
        <v>330</v>
      </c>
      <c r="V34" s="109" t="s">
        <v>330</v>
      </c>
    </row>
    <row r="35" spans="1:22" x14ac:dyDescent="0.2">
      <c r="A35" s="143"/>
      <c r="B35" s="32" t="str">
        <f>VLOOKUP("&lt;T2Zeilentitel_6.4&gt;",Uebersetzungen!$B$3:$E$200,Uebersetzungen!$B$2+1,FALSE)</f>
        <v>Akademische Berufe und oberes Kader</v>
      </c>
      <c r="C35" s="17">
        <v>16516.630569380322</v>
      </c>
      <c r="D35" s="76">
        <v>8.5095799786306703</v>
      </c>
      <c r="E35" s="63">
        <v>16516.630569380319</v>
      </c>
      <c r="F35" s="76">
        <v>8.5095799786306721</v>
      </c>
      <c r="G35" s="17">
        <v>16516.630569380319</v>
      </c>
      <c r="H35" s="62">
        <v>8.5095799786306721</v>
      </c>
      <c r="I35" s="17" t="s">
        <v>330</v>
      </c>
      <c r="J35" s="76" t="s">
        <v>330</v>
      </c>
      <c r="K35" s="66">
        <v>470.32149114631477</v>
      </c>
      <c r="L35" s="84">
        <v>53.979677162793557</v>
      </c>
      <c r="M35" s="17" t="s">
        <v>330</v>
      </c>
      <c r="N35" s="62" t="s">
        <v>330</v>
      </c>
      <c r="O35" s="17">
        <v>16046.309078234008</v>
      </c>
      <c r="P35" s="76">
        <v>8.6406532990353728</v>
      </c>
      <c r="Q35" s="63" t="s">
        <v>330</v>
      </c>
      <c r="R35" s="76" t="s">
        <v>330</v>
      </c>
      <c r="S35" s="57" t="s">
        <v>330</v>
      </c>
      <c r="T35" s="99" t="s">
        <v>330</v>
      </c>
      <c r="U35" s="57" t="s">
        <v>330</v>
      </c>
      <c r="V35" s="109" t="s">
        <v>330</v>
      </c>
    </row>
    <row r="36" spans="1:22" x14ac:dyDescent="0.2">
      <c r="A36" s="143"/>
      <c r="B36" s="32" t="str">
        <f>VLOOKUP("&lt;T2Zeilentitel_6.5&gt;",Uebersetzungen!$B$3:$E$200,Uebersetzungen!$B$2+1,FALSE)</f>
        <v>Intermediäre Berufe</v>
      </c>
      <c r="C36" s="17">
        <v>31500.389602709791</v>
      </c>
      <c r="D36" s="76">
        <v>6.0706703697586724</v>
      </c>
      <c r="E36" s="63">
        <v>31500.389602709791</v>
      </c>
      <c r="F36" s="76">
        <v>6.0706703697586724</v>
      </c>
      <c r="G36" s="17">
        <v>31500.389602709791</v>
      </c>
      <c r="H36" s="62">
        <v>6.0706703697586724</v>
      </c>
      <c r="I36" s="17" t="s">
        <v>330</v>
      </c>
      <c r="J36" s="76" t="s">
        <v>330</v>
      </c>
      <c r="K36" s="64">
        <v>1366.5971702663223</v>
      </c>
      <c r="L36" s="84">
        <v>31.496371950862013</v>
      </c>
      <c r="M36" s="17" t="s">
        <v>330</v>
      </c>
      <c r="N36" s="62" t="s">
        <v>330</v>
      </c>
      <c r="O36" s="17">
        <v>30133.792432443468</v>
      </c>
      <c r="P36" s="76">
        <v>6.2384510748797446</v>
      </c>
      <c r="Q36" s="63" t="s">
        <v>330</v>
      </c>
      <c r="R36" s="76" t="s">
        <v>330</v>
      </c>
      <c r="S36" s="57" t="s">
        <v>330</v>
      </c>
      <c r="T36" s="99" t="s">
        <v>330</v>
      </c>
      <c r="U36" s="57" t="s">
        <v>330</v>
      </c>
      <c r="V36" s="109" t="s">
        <v>330</v>
      </c>
    </row>
    <row r="37" spans="1:22" x14ac:dyDescent="0.2">
      <c r="A37" s="143"/>
      <c r="B37" s="32" t="str">
        <f>VLOOKUP("&lt;T2Zeilentitel_6.6&gt;",Uebersetzungen!$B$3:$E$200,Uebersetzungen!$B$2+1,FALSE)</f>
        <v>Qualifizierte nichtmanuelle Berufe</v>
      </c>
      <c r="C37" s="17">
        <v>23605.68661949251</v>
      </c>
      <c r="D37" s="76">
        <v>7.0821137163126409</v>
      </c>
      <c r="E37" s="63">
        <v>23605.686619492506</v>
      </c>
      <c r="F37" s="76">
        <v>7.0821137163126417</v>
      </c>
      <c r="G37" s="17">
        <v>23605.686619492506</v>
      </c>
      <c r="H37" s="62">
        <v>7.0821137163126417</v>
      </c>
      <c r="I37" s="17" t="s">
        <v>330</v>
      </c>
      <c r="J37" s="76" t="s">
        <v>330</v>
      </c>
      <c r="K37" s="63">
        <v>1887.7077204431243</v>
      </c>
      <c r="L37" s="76">
        <v>27.166091032451508</v>
      </c>
      <c r="M37" s="17" t="s">
        <v>330</v>
      </c>
      <c r="N37" s="62" t="s">
        <v>330</v>
      </c>
      <c r="O37" s="17">
        <v>21717.978899049383</v>
      </c>
      <c r="P37" s="76">
        <v>7.4159096848578674</v>
      </c>
      <c r="Q37" s="63" t="s">
        <v>330</v>
      </c>
      <c r="R37" s="76" t="s">
        <v>330</v>
      </c>
      <c r="S37" s="57" t="s">
        <v>330</v>
      </c>
      <c r="T37" s="99" t="s">
        <v>330</v>
      </c>
      <c r="U37" s="57" t="s">
        <v>330</v>
      </c>
      <c r="V37" s="109" t="s">
        <v>330</v>
      </c>
    </row>
    <row r="38" spans="1:22" x14ac:dyDescent="0.2">
      <c r="A38" s="143"/>
      <c r="B38" s="32" t="str">
        <f>VLOOKUP("&lt;T2Zeilentitel_6.7&gt;",Uebersetzungen!$B$3:$E$200,Uebersetzungen!$B$2+1,FALSE)</f>
        <v>Qualifizierte manuelle Berufe</v>
      </c>
      <c r="C38" s="17">
        <v>9675.5097240627747</v>
      </c>
      <c r="D38" s="76">
        <v>12.183978199175275</v>
      </c>
      <c r="E38" s="63">
        <v>9675.5097240627765</v>
      </c>
      <c r="F38" s="76">
        <v>12.183978199175273</v>
      </c>
      <c r="G38" s="17">
        <v>9675.5097240627765</v>
      </c>
      <c r="H38" s="62">
        <v>12.183978199175273</v>
      </c>
      <c r="I38" s="17" t="s">
        <v>330</v>
      </c>
      <c r="J38" s="76" t="s">
        <v>330</v>
      </c>
      <c r="K38" s="64">
        <v>1230.7282038182027</v>
      </c>
      <c r="L38" s="84">
        <v>35.068811970594524</v>
      </c>
      <c r="M38" s="17" t="s">
        <v>330</v>
      </c>
      <c r="N38" s="62" t="s">
        <v>330</v>
      </c>
      <c r="O38" s="17">
        <v>8444.7815202445727</v>
      </c>
      <c r="P38" s="76">
        <v>13.075124704306649</v>
      </c>
      <c r="Q38" s="63" t="s">
        <v>330</v>
      </c>
      <c r="R38" s="76" t="s">
        <v>330</v>
      </c>
      <c r="S38" s="57" t="s">
        <v>330</v>
      </c>
      <c r="T38" s="99" t="s">
        <v>330</v>
      </c>
      <c r="U38" s="57" t="s">
        <v>330</v>
      </c>
      <c r="V38" s="109" t="s">
        <v>330</v>
      </c>
    </row>
    <row r="39" spans="1:22" x14ac:dyDescent="0.2">
      <c r="A39" s="143"/>
      <c r="B39" s="32" t="str">
        <f>VLOOKUP("&lt;T2Zeilentitel_6.8&gt;",Uebersetzungen!$B$3:$E$200,Uebersetzungen!$B$2+1,FALSE)</f>
        <v>Ungelernte Angestellte und Arbeiter</v>
      </c>
      <c r="C39" s="17">
        <v>5853.1832767080741</v>
      </c>
      <c r="D39" s="76">
        <v>16.140312244326328</v>
      </c>
      <c r="E39" s="63">
        <v>5853.1832767080768</v>
      </c>
      <c r="F39" s="76">
        <v>16.140312244326317</v>
      </c>
      <c r="G39" s="17">
        <v>5853.1832767080768</v>
      </c>
      <c r="H39" s="62">
        <v>16.140312244326317</v>
      </c>
      <c r="I39" s="17" t="s">
        <v>330</v>
      </c>
      <c r="J39" s="76" t="s">
        <v>330</v>
      </c>
      <c r="K39" s="66">
        <v>770.65869539873518</v>
      </c>
      <c r="L39" s="84">
        <v>43.609347586087672</v>
      </c>
      <c r="M39" s="17" t="s">
        <v>330</v>
      </c>
      <c r="N39" s="62" t="s">
        <v>330</v>
      </c>
      <c r="O39" s="17">
        <v>5082.5245813093388</v>
      </c>
      <c r="P39" s="76">
        <v>17.437708769094801</v>
      </c>
      <c r="Q39" s="63" t="s">
        <v>330</v>
      </c>
      <c r="R39" s="76" t="s">
        <v>330</v>
      </c>
      <c r="S39" s="57" t="s">
        <v>330</v>
      </c>
      <c r="T39" s="99" t="s">
        <v>330</v>
      </c>
      <c r="U39" s="57" t="s">
        <v>330</v>
      </c>
      <c r="V39" s="109" t="s">
        <v>330</v>
      </c>
    </row>
    <row r="40" spans="1:22" x14ac:dyDescent="0.2">
      <c r="A40" s="143"/>
      <c r="B40" s="32" t="str">
        <f>VLOOKUP("&lt;T2Zeilentitel_6.9&gt;",Uebersetzungen!$B$3:$E$200,Uebersetzungen!$B$2+1,FALSE)</f>
        <v>Lernende in dualer beruflicher Grundbildung (Lehrlinge)</v>
      </c>
      <c r="C40" s="17">
        <v>2635.7418494780122</v>
      </c>
      <c r="D40" s="76">
        <v>22.722475697722587</v>
      </c>
      <c r="E40" s="63">
        <v>2635.7418494780122</v>
      </c>
      <c r="F40" s="76">
        <v>22.722475697722587</v>
      </c>
      <c r="G40" s="17">
        <v>2635.7418494780122</v>
      </c>
      <c r="H40" s="62">
        <v>22.722475697722587</v>
      </c>
      <c r="I40" s="17" t="s">
        <v>330</v>
      </c>
      <c r="J40" s="76" t="s">
        <v>330</v>
      </c>
      <c r="K40" s="63" t="s">
        <v>330</v>
      </c>
      <c r="L40" s="76" t="s">
        <v>330</v>
      </c>
      <c r="M40" s="17" t="s">
        <v>330</v>
      </c>
      <c r="N40" s="62" t="s">
        <v>330</v>
      </c>
      <c r="O40" s="17" t="s">
        <v>330</v>
      </c>
      <c r="P40" s="76" t="s">
        <v>330</v>
      </c>
      <c r="Q40" s="63">
        <v>2635.7418494780122</v>
      </c>
      <c r="R40" s="76">
        <v>22.722475697722587</v>
      </c>
      <c r="S40" s="57" t="s">
        <v>330</v>
      </c>
      <c r="T40" s="99" t="s">
        <v>330</v>
      </c>
      <c r="U40" s="57" t="s">
        <v>330</v>
      </c>
      <c r="V40" s="109" t="s">
        <v>330</v>
      </c>
    </row>
    <row r="41" spans="1:22" ht="25.5" x14ac:dyDescent="0.2">
      <c r="A41" s="143"/>
      <c r="B41" s="32" t="str">
        <f>VLOOKUP("&lt;T2Zeilentitel_6.10&gt;",Uebersetzungen!$B$3:$E$200,Uebersetzungen!$B$2+1,FALSE)</f>
        <v>Nicht zuteilbare Erwerbstätige (fehlende oder unklare Basisdaten oder unplausible Kombination)</v>
      </c>
      <c r="C41" s="53">
        <v>1453.1300693931607</v>
      </c>
      <c r="D41" s="84">
        <v>31.192680984634482</v>
      </c>
      <c r="E41" s="64">
        <v>1453.1300693931603</v>
      </c>
      <c r="F41" s="84">
        <v>31.192680984634492</v>
      </c>
      <c r="G41" s="53">
        <v>1453.1300693931603</v>
      </c>
      <c r="H41" s="65">
        <v>31.192680984634492</v>
      </c>
      <c r="I41" s="17" t="s">
        <v>330</v>
      </c>
      <c r="J41" s="76" t="s">
        <v>330</v>
      </c>
      <c r="K41" s="66">
        <v>191.84180895853009</v>
      </c>
      <c r="L41" s="84">
        <v>88.484284628714661</v>
      </c>
      <c r="M41" s="17" t="s">
        <v>330</v>
      </c>
      <c r="N41" s="62" t="s">
        <v>330</v>
      </c>
      <c r="O41" s="53">
        <v>1199.0503564487665</v>
      </c>
      <c r="P41" s="84">
        <v>34.374577631316285</v>
      </c>
      <c r="Q41" s="63" t="s">
        <v>330</v>
      </c>
      <c r="R41" s="76" t="s">
        <v>330</v>
      </c>
      <c r="S41" s="57" t="s">
        <v>330</v>
      </c>
      <c r="T41" s="99" t="s">
        <v>330</v>
      </c>
      <c r="U41" s="57" t="s">
        <v>330</v>
      </c>
      <c r="V41" s="109" t="s">
        <v>330</v>
      </c>
    </row>
    <row r="42" spans="1:22" x14ac:dyDescent="0.2">
      <c r="A42" s="144"/>
      <c r="B42" s="32" t="str">
        <f>VLOOKUP("&lt;T2Zeilentitel_6.11&gt;",Uebersetzungen!$B$3:$E$200,Uebersetzungen!$B$2+1,FALSE)</f>
        <v>Erwerbslose und Nichterwerbspersonen</v>
      </c>
      <c r="C42" s="56">
        <v>65786.672976606438</v>
      </c>
      <c r="D42" s="119">
        <v>3.5246268704900352</v>
      </c>
      <c r="E42" s="120">
        <v>2284.4069618137946</v>
      </c>
      <c r="F42" s="119">
        <v>25.177421180026492</v>
      </c>
      <c r="G42" s="56" t="s">
        <v>330</v>
      </c>
      <c r="H42" s="121" t="s">
        <v>330</v>
      </c>
      <c r="I42" s="56" t="s">
        <v>330</v>
      </c>
      <c r="J42" s="119" t="s">
        <v>330</v>
      </c>
      <c r="K42" s="120" t="s">
        <v>330</v>
      </c>
      <c r="L42" s="119" t="s">
        <v>330</v>
      </c>
      <c r="M42" s="56" t="s">
        <v>330</v>
      </c>
      <c r="N42" s="121" t="s">
        <v>330</v>
      </c>
      <c r="O42" s="56" t="s">
        <v>330</v>
      </c>
      <c r="P42" s="119" t="s">
        <v>330</v>
      </c>
      <c r="Q42" s="120" t="s">
        <v>330</v>
      </c>
      <c r="R42" s="119" t="s">
        <v>330</v>
      </c>
      <c r="S42" s="56">
        <v>2284.4069618137946</v>
      </c>
      <c r="T42" s="121">
        <v>25.177421180026492</v>
      </c>
      <c r="U42" s="56">
        <v>63502.266014792644</v>
      </c>
      <c r="V42" s="126">
        <v>3.6135246280747295</v>
      </c>
    </row>
    <row r="43" spans="1:22" x14ac:dyDescent="0.2">
      <c r="A43" s="143" t="str">
        <f>VLOOKUP("&lt;T2Zeilentitel_7&gt;",Uebersetzungen!$B$3:$E$200,Uebersetzungen!$B$2+1,FALSE)</f>
        <v>Höchste abgeschlossene Ausbildung</v>
      </c>
      <c r="B43" s="34" t="str">
        <f>VLOOKUP("&lt;T2Zeilentitel_7.1&gt;",Uebersetzungen!$B$3:$E$200,Uebersetzungen!$B$2+1,FALSE)</f>
        <v>Obligatorische Schule</v>
      </c>
      <c r="C43" s="17">
        <v>32938.137101366105</v>
      </c>
      <c r="D43" s="76">
        <v>5.9139819080388394</v>
      </c>
      <c r="E43" s="63">
        <v>13524.794438768833</v>
      </c>
      <c r="F43" s="76">
        <v>10.170521570172589</v>
      </c>
      <c r="G43" s="17">
        <v>13045.770213249396</v>
      </c>
      <c r="H43" s="62">
        <v>10.358478493584411</v>
      </c>
      <c r="I43" s="54">
        <v>976.83360333505084</v>
      </c>
      <c r="J43" s="84">
        <v>38.985013955112457</v>
      </c>
      <c r="K43" s="66">
        <v>858.50071873244758</v>
      </c>
      <c r="L43" s="84">
        <v>41.706245568739355</v>
      </c>
      <c r="M43" s="54">
        <v>608.86146219157195</v>
      </c>
      <c r="N43" s="65">
        <v>47.222037536915117</v>
      </c>
      <c r="O43" s="17">
        <v>8553.4400841856368</v>
      </c>
      <c r="P43" s="76">
        <v>13.196969900096589</v>
      </c>
      <c r="Q43" s="63">
        <v>2048.1343448046978</v>
      </c>
      <c r="R43" s="76">
        <v>25.125983112848221</v>
      </c>
      <c r="S43" s="54">
        <v>479.02422551944017</v>
      </c>
      <c r="T43" s="65">
        <v>57.343976003076349</v>
      </c>
      <c r="U43" s="17">
        <v>19413.342662597261</v>
      </c>
      <c r="V43" s="87">
        <v>7.8123837490644279</v>
      </c>
    </row>
    <row r="44" spans="1:22" x14ac:dyDescent="0.2">
      <c r="A44" s="143"/>
      <c r="B44" s="32" t="str">
        <f>VLOOKUP("&lt;T2Zeilentitel_7.2&gt;",Uebersetzungen!$B$3:$E$200,Uebersetzungen!$B$2+1,FALSE)</f>
        <v>Sekundarstufe II</v>
      </c>
      <c r="C44" s="17">
        <v>81217.846845221851</v>
      </c>
      <c r="D44" s="76">
        <v>3.0408354358789191</v>
      </c>
      <c r="E44" s="63">
        <v>53370.783263184683</v>
      </c>
      <c r="F44" s="76">
        <v>4.3261692040077326</v>
      </c>
      <c r="G44" s="17">
        <v>52233.129628803486</v>
      </c>
      <c r="H44" s="62">
        <v>4.3900365943543989</v>
      </c>
      <c r="I44" s="17">
        <v>4004.781652730615</v>
      </c>
      <c r="J44" s="76">
        <v>18.264636463492202</v>
      </c>
      <c r="K44" s="63">
        <v>3431.9278376445786</v>
      </c>
      <c r="L44" s="76">
        <v>20.298846448148144</v>
      </c>
      <c r="M44" s="17">
        <v>2858.6033942481818</v>
      </c>
      <c r="N44" s="62">
        <v>21.826855431114456</v>
      </c>
      <c r="O44" s="17">
        <v>41385.073254343682</v>
      </c>
      <c r="P44" s="76">
        <v>5.1253032295336753</v>
      </c>
      <c r="Q44" s="66">
        <v>552.74348983647144</v>
      </c>
      <c r="R44" s="84">
        <v>54.627794748372125</v>
      </c>
      <c r="S44" s="53">
        <v>1137.6536343812163</v>
      </c>
      <c r="T44" s="65">
        <v>35.488477561382169</v>
      </c>
      <c r="U44" s="17">
        <v>27847.063582037103</v>
      </c>
      <c r="V44" s="87">
        <v>6.2406422490327413</v>
      </c>
    </row>
    <row r="45" spans="1:22" ht="13.5" thickBot="1" x14ac:dyDescent="0.25">
      <c r="A45" s="145"/>
      <c r="B45" s="33" t="str">
        <f>VLOOKUP("&lt;T2Zeilentitel_7.3&gt;",Uebersetzungen!$B$3:$E$200,Uebersetzungen!$B$2+1,FALSE)</f>
        <v>Tertiärstufe</v>
      </c>
      <c r="C45" s="79">
        <v>61821.016053407599</v>
      </c>
      <c r="D45" s="80">
        <v>3.7375170185912521</v>
      </c>
      <c r="E45" s="67">
        <v>45579.156283249155</v>
      </c>
      <c r="F45" s="80">
        <v>4.6712264424595844</v>
      </c>
      <c r="G45" s="79">
        <v>44911.42718133601</v>
      </c>
      <c r="H45" s="58">
        <v>4.7147900181177498</v>
      </c>
      <c r="I45" s="79">
        <v>4616.2529448950372</v>
      </c>
      <c r="J45" s="80">
        <v>16.599783024445557</v>
      </c>
      <c r="K45" s="70">
        <v>1627.4265336542037</v>
      </c>
      <c r="L45" s="85">
        <v>28.929547267154643</v>
      </c>
      <c r="M45" s="79">
        <v>4176.0284767077837</v>
      </c>
      <c r="N45" s="58">
        <v>17.364960491400538</v>
      </c>
      <c r="O45" s="79">
        <v>34456.855211242197</v>
      </c>
      <c r="P45" s="80">
        <v>5.6138010737505759</v>
      </c>
      <c r="Q45" s="67" t="s">
        <v>330</v>
      </c>
      <c r="R45" s="80" t="s">
        <v>330</v>
      </c>
      <c r="S45" s="106">
        <v>667.72910191313781</v>
      </c>
      <c r="T45" s="69">
        <v>46.112389305753979</v>
      </c>
      <c r="U45" s="79">
        <v>16241.859770158395</v>
      </c>
      <c r="V45" s="89">
        <v>8.5473498813811997</v>
      </c>
    </row>
    <row r="46" spans="1:22" x14ac:dyDescent="0.2">
      <c r="A46" s="23"/>
      <c r="B46" s="25"/>
      <c r="C46" s="2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x14ac:dyDescent="0.2">
      <c r="A47" s="15" t="str">
        <f>VLOOKUP("&lt;Legende_1&gt;",Uebersetzungen!$B$3:$E$200,Uebersetzungen!$B$2+1,FALSE)</f>
        <v>(): Extrapolation aufgrund von 49 oder weniger Beobachtungen. Die Resultate sind mit grosser Vorsicht zu interpretieren.</v>
      </c>
      <c r="B47" s="15"/>
      <c r="C47" s="25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x14ac:dyDescent="0.2">
      <c r="A48" s="15" t="str">
        <f>VLOOKUP("&lt;Legende_2&gt;",Uebersetzungen!$B$3:$E$200,Uebersetzungen!$B$2+1,FALSE)</f>
        <v>X: Extrapolation aufgrund von 4 oder weniger Beobachtungen. Die Resultate werden aus Gründen des Datenschutzes nicht publiziert.</v>
      </c>
      <c r="B48" s="15"/>
      <c r="C48" s="25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x14ac:dyDescent="0.2">
      <c r="A49" s="15" t="str">
        <f>VLOOKUP("&lt;Legende_3&gt;",Uebersetzungen!$B$3:$E$200,Uebersetzungen!$B$2+1,FALSE)</f>
        <v>Die Grundgesamtheit der Strukturerhebung enthält alle Personen der ständigen Wohnbevölkerung ab vollendetem 15. Altersjahr, die in Privathaushalten leben.</v>
      </c>
      <c r="B49" s="15"/>
      <c r="C49" s="25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x14ac:dyDescent="0.2">
      <c r="A50" s="15" t="str">
        <f>VLOOKUP("&lt;Legende_4&gt;",Uebersetzungen!$B$3:$E$200,Uebersetzungen!$B$2+1,FALSE)</f>
        <v>Aus der Grundgesamtheit ausgeschlossen wurden neben den Personen, die in Kollektivhaushalten leben, auch Diplomaten, internationale Funktionäre und deren Angehörige.</v>
      </c>
      <c r="B50" s="15"/>
      <c r="C50" s="25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x14ac:dyDescent="0.2">
      <c r="A51" s="1"/>
      <c r="B51" s="15"/>
      <c r="C51" s="25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x14ac:dyDescent="0.2">
      <c r="A52" s="1" t="str">
        <f>VLOOKUP("&lt;quelle_1&gt;",Uebersetzungen!$B$3:$E$200,Uebersetzungen!$B$2+1,FALSE)</f>
        <v>Quelle: BFS (Strukturerhebung)</v>
      </c>
      <c r="B52" s="15"/>
      <c r="C52" s="25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x14ac:dyDescent="0.2">
      <c r="A53" s="1" t="str">
        <f>VLOOKUP("&lt;aktualisierung&gt;",Uebersetzungen!$B$3:$E$200,Uebersetzungen!$B$2+1,FALSE)</f>
        <v>Letztmals aktualisiert am: 29.01.2026</v>
      </c>
      <c r="B53" s="15"/>
      <c r="C53" s="25"/>
    </row>
    <row r="54" spans="1:22" x14ac:dyDescent="0.2">
      <c r="A54" s="19"/>
      <c r="B54" s="15"/>
      <c r="C54" s="25"/>
    </row>
    <row r="55" spans="1:22" x14ac:dyDescent="0.2">
      <c r="A55" s="19"/>
      <c r="B55" s="25"/>
      <c r="C55" s="25"/>
    </row>
    <row r="56" spans="1:22" x14ac:dyDescent="0.2">
      <c r="A56" s="19"/>
    </row>
  </sheetData>
  <sheetProtection sheet="1" objects="1" scenarios="1"/>
  <mergeCells count="19">
    <mergeCell ref="A7:B7"/>
    <mergeCell ref="C12:V12"/>
    <mergeCell ref="C13:D13"/>
    <mergeCell ref="A15:B15"/>
    <mergeCell ref="A16:A17"/>
    <mergeCell ref="K13:L13"/>
    <mergeCell ref="M13:N13"/>
    <mergeCell ref="O13:P13"/>
    <mergeCell ref="Q13:R13"/>
    <mergeCell ref="S13:T13"/>
    <mergeCell ref="U13:V13"/>
    <mergeCell ref="E13:F13"/>
    <mergeCell ref="G13:H13"/>
    <mergeCell ref="I13:J13"/>
    <mergeCell ref="A18:A21"/>
    <mergeCell ref="A22:A26"/>
    <mergeCell ref="A27:A31"/>
    <mergeCell ref="A32:A42"/>
    <mergeCell ref="A43:A45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3" name="Option Button 7">
              <controlPr defaultSize="0" autoFill="0" autoLine="0" autoPict="0">
                <anchor moveWithCells="1">
                  <from>
                    <xdr:col>2</xdr:col>
                    <xdr:colOff>523875</xdr:colOff>
                    <xdr:row>1</xdr:row>
                    <xdr:rowOff>123825</xdr:rowOff>
                  </from>
                  <to>
                    <xdr:col>4</xdr:col>
                    <xdr:colOff>114300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4" name="Option Button 8">
              <controlPr defaultSize="0" autoFill="0" autoLine="0" autoPict="0">
                <anchor moveWithCells="1">
                  <from>
                    <xdr:col>2</xdr:col>
                    <xdr:colOff>523875</xdr:colOff>
                    <xdr:row>2</xdr:row>
                    <xdr:rowOff>114300</xdr:rowOff>
                  </from>
                  <to>
                    <xdr:col>4</xdr:col>
                    <xdr:colOff>542925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Option Button 9">
              <controlPr defaultSize="0" autoFill="0" autoLine="0" autoPict="0">
                <anchor moveWithCells="1">
                  <from>
                    <xdr:col>2</xdr:col>
                    <xdr:colOff>523875</xdr:colOff>
                    <xdr:row>3</xdr:row>
                    <xdr:rowOff>85725</xdr:rowOff>
                  </from>
                  <to>
                    <xdr:col>4</xdr:col>
                    <xdr:colOff>114300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4"/>
  <sheetViews>
    <sheetView topLeftCell="A52" workbookViewId="0">
      <selection activeCell="G101" sqref="G101"/>
    </sheetView>
  </sheetViews>
  <sheetFormatPr baseColWidth="10" defaultColWidth="12.5703125" defaultRowHeight="12.75" x14ac:dyDescent="0.2"/>
  <cols>
    <col min="1" max="1" width="9.85546875" style="38" customWidth="1"/>
    <col min="2" max="2" width="30" style="38" customWidth="1"/>
    <col min="3" max="3" width="78.5703125" style="42" customWidth="1"/>
    <col min="4" max="5" width="53.42578125" style="42" customWidth="1"/>
    <col min="6" max="6" width="22.42578125" style="38" customWidth="1"/>
    <col min="7" max="8" width="12.5703125" style="38"/>
    <col min="9" max="9" width="37.7109375" style="38" customWidth="1"/>
    <col min="10" max="16384" width="12.5703125" style="38"/>
  </cols>
  <sheetData>
    <row r="1" spans="1:6" x14ac:dyDescent="0.2">
      <c r="A1" s="35" t="s">
        <v>1</v>
      </c>
      <c r="B1" s="35" t="s">
        <v>2</v>
      </c>
      <c r="C1" s="36" t="s">
        <v>3</v>
      </c>
      <c r="D1" s="36" t="s">
        <v>4</v>
      </c>
      <c r="E1" s="36" t="s">
        <v>5</v>
      </c>
      <c r="F1" s="37"/>
    </row>
    <row r="2" spans="1:6" ht="12.75" customHeight="1" x14ac:dyDescent="0.2">
      <c r="A2" s="39" t="s">
        <v>6</v>
      </c>
      <c r="B2" s="40">
        <v>1</v>
      </c>
      <c r="C2" s="41"/>
      <c r="D2" s="41"/>
      <c r="E2" s="41"/>
      <c r="F2" s="37"/>
    </row>
    <row r="3" spans="1:6" ht="12.75" customHeight="1" x14ac:dyDescent="0.2">
      <c r="A3" s="39"/>
      <c r="B3" s="38" t="s">
        <v>7</v>
      </c>
      <c r="C3" s="42" t="s">
        <v>8</v>
      </c>
      <c r="D3" s="42" t="s">
        <v>9</v>
      </c>
      <c r="E3" s="42" t="s">
        <v>10</v>
      </c>
      <c r="F3" s="37"/>
    </row>
    <row r="4" spans="1:6" ht="12.75" customHeight="1" x14ac:dyDescent="0.2">
      <c r="A4" s="39" t="s">
        <v>11</v>
      </c>
      <c r="B4" s="38" t="s">
        <v>12</v>
      </c>
      <c r="C4" s="42" t="s">
        <v>273</v>
      </c>
      <c r="D4" s="42" t="s">
        <v>322</v>
      </c>
      <c r="E4" s="42" t="s">
        <v>276</v>
      </c>
      <c r="F4" s="37"/>
    </row>
    <row r="5" spans="1:6" ht="12.75" customHeight="1" x14ac:dyDescent="0.2">
      <c r="A5" s="39"/>
      <c r="B5" s="38" t="s">
        <v>13</v>
      </c>
      <c r="C5" s="42" t="s">
        <v>331</v>
      </c>
      <c r="D5" s="42" t="s">
        <v>332</v>
      </c>
      <c r="E5" t="s">
        <v>333</v>
      </c>
      <c r="F5" s="37"/>
    </row>
    <row r="6" spans="1:6" ht="12.75" customHeight="1" x14ac:dyDescent="0.2">
      <c r="A6" s="39" t="s">
        <v>11</v>
      </c>
      <c r="B6" s="38" t="s">
        <v>14</v>
      </c>
      <c r="C6" s="42" t="s">
        <v>15</v>
      </c>
      <c r="D6" s="42" t="s">
        <v>15</v>
      </c>
      <c r="E6" s="42" t="s">
        <v>16</v>
      </c>
      <c r="F6" s="37"/>
    </row>
    <row r="7" spans="1:6" ht="12.75" customHeight="1" x14ac:dyDescent="0.2">
      <c r="A7" s="39"/>
      <c r="B7" s="38" t="s">
        <v>17</v>
      </c>
      <c r="C7" s="42" t="s">
        <v>18</v>
      </c>
      <c r="D7" s="42" t="s">
        <v>277</v>
      </c>
      <c r="E7" s="42" t="s">
        <v>282</v>
      </c>
      <c r="F7" s="37"/>
    </row>
    <row r="8" spans="1:6" ht="12.75" customHeight="1" x14ac:dyDescent="0.2">
      <c r="A8" s="39"/>
      <c r="B8" s="38" t="s">
        <v>19</v>
      </c>
      <c r="C8" s="42" t="s">
        <v>20</v>
      </c>
      <c r="D8" s="42" t="s">
        <v>278</v>
      </c>
      <c r="E8" s="42" t="s">
        <v>283</v>
      </c>
      <c r="F8" s="37"/>
    </row>
    <row r="9" spans="1:6" ht="12.75" customHeight="1" x14ac:dyDescent="0.2">
      <c r="A9" s="39"/>
      <c r="B9" s="38" t="s">
        <v>21</v>
      </c>
      <c r="C9" s="42" t="s">
        <v>22</v>
      </c>
      <c r="D9" s="42" t="s">
        <v>279</v>
      </c>
      <c r="E9" s="42" t="s">
        <v>284</v>
      </c>
      <c r="F9" s="37"/>
    </row>
    <row r="10" spans="1:6" ht="12.75" customHeight="1" x14ac:dyDescent="0.2">
      <c r="A10" s="39"/>
      <c r="B10" s="38" t="s">
        <v>23</v>
      </c>
      <c r="C10" s="42" t="s">
        <v>24</v>
      </c>
      <c r="D10" s="42" t="s">
        <v>25</v>
      </c>
      <c r="E10" s="42" t="s">
        <v>285</v>
      </c>
      <c r="F10" s="37"/>
    </row>
    <row r="11" spans="1:6" ht="12.75" customHeight="1" x14ac:dyDescent="0.2">
      <c r="A11" s="39"/>
      <c r="B11" s="38" t="s">
        <v>26</v>
      </c>
      <c r="C11" s="42" t="s">
        <v>27</v>
      </c>
      <c r="D11" s="42" t="s">
        <v>28</v>
      </c>
      <c r="E11" s="42" t="s">
        <v>286</v>
      </c>
      <c r="F11" s="37"/>
    </row>
    <row r="12" spans="1:6" ht="12.75" customHeight="1" x14ac:dyDescent="0.2">
      <c r="A12" s="39"/>
      <c r="B12" s="38" t="s">
        <v>29</v>
      </c>
      <c r="C12" s="42" t="s">
        <v>30</v>
      </c>
      <c r="D12" s="42" t="s">
        <v>280</v>
      </c>
      <c r="E12" s="42" t="s">
        <v>287</v>
      </c>
      <c r="F12" s="37"/>
    </row>
    <row r="13" spans="1:6" ht="12.75" customHeight="1" x14ac:dyDescent="0.2">
      <c r="A13" s="39"/>
      <c r="B13" s="38" t="s">
        <v>31</v>
      </c>
      <c r="C13" s="42" t="s">
        <v>32</v>
      </c>
      <c r="D13" s="42" t="s">
        <v>33</v>
      </c>
      <c r="E13" s="42" t="s">
        <v>288</v>
      </c>
      <c r="F13" s="37"/>
    </row>
    <row r="14" spans="1:6" ht="12.75" customHeight="1" x14ac:dyDescent="0.2">
      <c r="A14" s="39"/>
      <c r="B14" s="38" t="s">
        <v>34</v>
      </c>
      <c r="C14" s="42" t="s">
        <v>35</v>
      </c>
      <c r="D14" s="42" t="s">
        <v>281</v>
      </c>
      <c r="E14" s="42" t="s">
        <v>289</v>
      </c>
      <c r="F14" s="37"/>
    </row>
    <row r="15" spans="1:6" ht="12.75" customHeight="1" x14ac:dyDescent="0.2">
      <c r="A15" s="39"/>
      <c r="B15" s="38" t="s">
        <v>36</v>
      </c>
      <c r="C15" s="42" t="s">
        <v>37</v>
      </c>
      <c r="D15" s="42" t="s">
        <v>281</v>
      </c>
      <c r="E15" s="42" t="s">
        <v>290</v>
      </c>
      <c r="F15" s="37"/>
    </row>
    <row r="16" spans="1:6" ht="12.75" customHeight="1" x14ac:dyDescent="0.2">
      <c r="A16" s="39"/>
      <c r="B16" s="37"/>
      <c r="C16" s="43"/>
      <c r="D16" s="43"/>
      <c r="E16" s="43"/>
      <c r="F16" s="37"/>
    </row>
    <row r="17" spans="1:6" ht="12.75" customHeight="1" x14ac:dyDescent="0.2">
      <c r="A17" s="39"/>
      <c r="B17" s="38" t="s">
        <v>38</v>
      </c>
      <c r="C17" s="42" t="s">
        <v>0</v>
      </c>
      <c r="D17" s="42" t="s">
        <v>39</v>
      </c>
      <c r="E17" s="42" t="s">
        <v>40</v>
      </c>
      <c r="F17" s="37"/>
    </row>
    <row r="18" spans="1:6" ht="12.75" customHeight="1" x14ac:dyDescent="0.2">
      <c r="A18" s="39"/>
      <c r="B18" s="38" t="s">
        <v>41</v>
      </c>
      <c r="C18" s="42" t="s">
        <v>42</v>
      </c>
      <c r="D18" s="42" t="s">
        <v>43</v>
      </c>
      <c r="E18" s="42" t="s">
        <v>44</v>
      </c>
      <c r="F18" s="37"/>
    </row>
    <row r="19" spans="1:6" ht="12.75" customHeight="1" x14ac:dyDescent="0.2">
      <c r="A19" s="39"/>
      <c r="B19" s="37"/>
      <c r="C19" s="43"/>
      <c r="D19" s="43"/>
      <c r="E19" s="43"/>
      <c r="F19" s="37"/>
    </row>
    <row r="20" spans="1:6" ht="12.75" customHeight="1" x14ac:dyDescent="0.2">
      <c r="A20" s="39" t="s">
        <v>45</v>
      </c>
      <c r="B20" s="38" t="s">
        <v>46</v>
      </c>
      <c r="C20" s="42" t="s">
        <v>15</v>
      </c>
      <c r="D20" s="42" t="s">
        <v>15</v>
      </c>
      <c r="E20" s="42" t="s">
        <v>16</v>
      </c>
      <c r="F20" s="37"/>
    </row>
    <row r="21" spans="1:6" ht="12.75" customHeight="1" x14ac:dyDescent="0.2">
      <c r="A21" s="37"/>
      <c r="B21" s="38" t="s">
        <v>47</v>
      </c>
      <c r="C21" s="42" t="s">
        <v>48</v>
      </c>
      <c r="D21" s="42" t="s">
        <v>49</v>
      </c>
      <c r="E21" s="42" t="s">
        <v>50</v>
      </c>
      <c r="F21" s="37"/>
    </row>
    <row r="22" spans="1:6" ht="12.75" customHeight="1" x14ac:dyDescent="0.2">
      <c r="A22" s="39"/>
      <c r="B22" s="37"/>
      <c r="C22" s="43"/>
      <c r="D22" s="43"/>
      <c r="E22" s="43"/>
      <c r="F22" s="37"/>
    </row>
    <row r="23" spans="1:6" ht="12.75" customHeight="1" x14ac:dyDescent="0.2">
      <c r="A23" s="37"/>
      <c r="B23" s="38" t="s">
        <v>51</v>
      </c>
      <c r="C23" s="44" t="s">
        <v>52</v>
      </c>
      <c r="D23" s="45" t="s">
        <v>53</v>
      </c>
      <c r="E23" s="45" t="s">
        <v>54</v>
      </c>
      <c r="F23" s="37"/>
    </row>
    <row r="24" spans="1:6" ht="12.75" customHeight="1" x14ac:dyDescent="0.2">
      <c r="A24" s="37"/>
      <c r="B24" s="38" t="s">
        <v>55</v>
      </c>
      <c r="C24" s="44" t="s">
        <v>56</v>
      </c>
      <c r="D24" s="45" t="s">
        <v>57</v>
      </c>
      <c r="E24" s="45" t="s">
        <v>57</v>
      </c>
      <c r="F24" s="37"/>
    </row>
    <row r="25" spans="1:6" x14ac:dyDescent="0.2">
      <c r="A25" s="37"/>
      <c r="B25" s="38" t="s">
        <v>58</v>
      </c>
      <c r="C25" s="44" t="s">
        <v>59</v>
      </c>
      <c r="D25" s="45" t="s">
        <v>60</v>
      </c>
      <c r="E25" s="45" t="s">
        <v>60</v>
      </c>
      <c r="F25" s="37"/>
    </row>
    <row r="26" spans="1:6" x14ac:dyDescent="0.2">
      <c r="A26" s="37"/>
      <c r="B26" s="38" t="s">
        <v>61</v>
      </c>
      <c r="C26" s="44" t="s">
        <v>62</v>
      </c>
      <c r="D26" s="45" t="s">
        <v>62</v>
      </c>
      <c r="E26" s="45" t="s">
        <v>62</v>
      </c>
      <c r="F26" s="37"/>
    </row>
    <row r="27" spans="1:6" x14ac:dyDescent="0.2">
      <c r="A27" s="37"/>
      <c r="B27" s="38" t="s">
        <v>63</v>
      </c>
      <c r="C27" s="44" t="s">
        <v>64</v>
      </c>
      <c r="D27" s="45" t="s">
        <v>65</v>
      </c>
      <c r="E27" s="45" t="s">
        <v>66</v>
      </c>
      <c r="F27" s="37"/>
    </row>
    <row r="28" spans="1:6" x14ac:dyDescent="0.2">
      <c r="A28" s="37"/>
      <c r="B28" s="38" t="s">
        <v>67</v>
      </c>
      <c r="C28" s="44" t="s">
        <v>68</v>
      </c>
      <c r="D28" s="45" t="s">
        <v>69</v>
      </c>
      <c r="E28" s="45" t="s">
        <v>70</v>
      </c>
      <c r="F28" s="37"/>
    </row>
    <row r="29" spans="1:6" x14ac:dyDescent="0.2">
      <c r="A29" s="37"/>
      <c r="B29" s="38" t="s">
        <v>71</v>
      </c>
      <c r="C29" s="44" t="s">
        <v>72</v>
      </c>
      <c r="D29" s="45" t="s">
        <v>73</v>
      </c>
      <c r="E29" s="45" t="s">
        <v>74</v>
      </c>
      <c r="F29" s="37"/>
    </row>
    <row r="30" spans="1:6" x14ac:dyDescent="0.2">
      <c r="A30" s="37"/>
      <c r="B30" s="38" t="s">
        <v>75</v>
      </c>
      <c r="C30" s="44" t="s">
        <v>76</v>
      </c>
      <c r="D30" s="45" t="s">
        <v>77</v>
      </c>
      <c r="E30" s="45" t="s">
        <v>78</v>
      </c>
      <c r="F30" s="37"/>
    </row>
    <row r="31" spans="1:6" x14ac:dyDescent="0.2">
      <c r="A31" s="37"/>
      <c r="B31" s="38" t="s">
        <v>79</v>
      </c>
      <c r="C31" s="44" t="s">
        <v>80</v>
      </c>
      <c r="D31" s="45" t="s">
        <v>80</v>
      </c>
      <c r="E31" s="45" t="s">
        <v>81</v>
      </c>
      <c r="F31" s="37"/>
    </row>
    <row r="32" spans="1:6" x14ac:dyDescent="0.2">
      <c r="A32" s="37"/>
      <c r="B32" s="38" t="s">
        <v>82</v>
      </c>
      <c r="C32" s="44" t="s">
        <v>83</v>
      </c>
      <c r="D32" s="45" t="s">
        <v>84</v>
      </c>
      <c r="E32" s="45" t="s">
        <v>85</v>
      </c>
      <c r="F32" s="37"/>
    </row>
    <row r="33" spans="1:6" x14ac:dyDescent="0.2">
      <c r="A33" s="37"/>
      <c r="B33" s="38" t="s">
        <v>86</v>
      </c>
      <c r="C33" s="44" t="s">
        <v>87</v>
      </c>
      <c r="D33" s="45" t="s">
        <v>88</v>
      </c>
      <c r="E33" s="45" t="s">
        <v>89</v>
      </c>
      <c r="F33" s="37"/>
    </row>
    <row r="34" spans="1:6" x14ac:dyDescent="0.2">
      <c r="A34" s="37"/>
      <c r="B34" s="38" t="s">
        <v>90</v>
      </c>
      <c r="C34" s="44" t="s">
        <v>91</v>
      </c>
      <c r="D34" s="45" t="s">
        <v>92</v>
      </c>
      <c r="E34" s="45" t="s">
        <v>93</v>
      </c>
      <c r="F34" s="37"/>
    </row>
    <row r="35" spans="1:6" x14ac:dyDescent="0.2">
      <c r="A35" s="37"/>
      <c r="B35" s="38" t="s">
        <v>94</v>
      </c>
      <c r="C35" s="44" t="s">
        <v>95</v>
      </c>
      <c r="D35" s="45" t="s">
        <v>96</v>
      </c>
      <c r="E35" s="45" t="s">
        <v>97</v>
      </c>
      <c r="F35" s="37"/>
    </row>
    <row r="36" spans="1:6" x14ac:dyDescent="0.2">
      <c r="A36" s="37"/>
      <c r="B36" s="38" t="s">
        <v>98</v>
      </c>
      <c r="C36" s="44" t="s">
        <v>99</v>
      </c>
      <c r="D36" s="45" t="s">
        <v>100</v>
      </c>
      <c r="E36" s="45" t="s">
        <v>101</v>
      </c>
      <c r="F36" s="37"/>
    </row>
    <row r="37" spans="1:6" x14ac:dyDescent="0.2">
      <c r="A37" s="37"/>
      <c r="B37" s="38" t="s">
        <v>102</v>
      </c>
      <c r="C37" s="44" t="s">
        <v>103</v>
      </c>
      <c r="D37" s="45" t="s">
        <v>104</v>
      </c>
      <c r="E37" s="45" t="s">
        <v>105</v>
      </c>
      <c r="F37" s="37"/>
    </row>
    <row r="38" spans="1:6" x14ac:dyDescent="0.2">
      <c r="A38" s="37"/>
      <c r="B38" s="38" t="s">
        <v>106</v>
      </c>
      <c r="C38" s="44" t="s">
        <v>107</v>
      </c>
      <c r="D38" s="45" t="s">
        <v>108</v>
      </c>
      <c r="E38" s="45" t="s">
        <v>109</v>
      </c>
      <c r="F38" s="37"/>
    </row>
    <row r="39" spans="1:6" x14ac:dyDescent="0.2">
      <c r="A39" s="37"/>
      <c r="B39" s="38" t="s">
        <v>110</v>
      </c>
      <c r="C39" s="44" t="s">
        <v>111</v>
      </c>
      <c r="D39" s="45" t="s">
        <v>112</v>
      </c>
      <c r="E39" s="45" t="s">
        <v>113</v>
      </c>
      <c r="F39" s="37"/>
    </row>
    <row r="40" spans="1:6" x14ac:dyDescent="0.2">
      <c r="A40" s="37"/>
      <c r="B40" s="38" t="s">
        <v>114</v>
      </c>
      <c r="C40" s="44" t="s">
        <v>115</v>
      </c>
      <c r="D40" s="45" t="s">
        <v>116</v>
      </c>
      <c r="E40" s="45" t="s">
        <v>117</v>
      </c>
      <c r="F40" s="37"/>
    </row>
    <row r="41" spans="1:6" x14ac:dyDescent="0.2">
      <c r="A41" s="37"/>
      <c r="B41" s="38" t="s">
        <v>118</v>
      </c>
      <c r="C41" s="44" t="s">
        <v>119</v>
      </c>
      <c r="D41" s="45" t="s">
        <v>120</v>
      </c>
      <c r="E41" s="45" t="s">
        <v>120</v>
      </c>
      <c r="F41" s="37"/>
    </row>
    <row r="42" spans="1:6" x14ac:dyDescent="0.2">
      <c r="A42" s="37"/>
      <c r="B42" s="38" t="s">
        <v>121</v>
      </c>
      <c r="C42" s="44" t="s">
        <v>122</v>
      </c>
      <c r="D42" s="45" t="s">
        <v>123</v>
      </c>
      <c r="E42" s="45" t="s">
        <v>123</v>
      </c>
      <c r="F42" s="37"/>
    </row>
    <row r="43" spans="1:6" x14ac:dyDescent="0.2">
      <c r="A43" s="37"/>
      <c r="B43" s="38" t="s">
        <v>124</v>
      </c>
      <c r="C43" s="44" t="s">
        <v>125</v>
      </c>
      <c r="D43" s="45" t="s">
        <v>126</v>
      </c>
      <c r="E43" s="45" t="s">
        <v>125</v>
      </c>
      <c r="F43" s="37"/>
    </row>
    <row r="44" spans="1:6" x14ac:dyDescent="0.2">
      <c r="A44" s="37"/>
      <c r="B44" s="38" t="s">
        <v>127</v>
      </c>
      <c r="C44" s="44" t="s">
        <v>128</v>
      </c>
      <c r="D44" s="45" t="s">
        <v>129</v>
      </c>
      <c r="E44" s="45" t="s">
        <v>128</v>
      </c>
      <c r="F44" s="37"/>
    </row>
    <row r="45" spans="1:6" x14ac:dyDescent="0.2">
      <c r="A45" s="37"/>
      <c r="B45" s="38" t="s">
        <v>130</v>
      </c>
      <c r="C45" s="44" t="s">
        <v>131</v>
      </c>
      <c r="D45" s="45" t="s">
        <v>132</v>
      </c>
      <c r="E45" s="45" t="s">
        <v>133</v>
      </c>
      <c r="F45" s="37"/>
    </row>
    <row r="46" spans="1:6" x14ac:dyDescent="0.2">
      <c r="A46" s="37"/>
      <c r="B46" s="38" t="s">
        <v>134</v>
      </c>
      <c r="C46" s="44" t="s">
        <v>135</v>
      </c>
      <c r="D46" s="45" t="s">
        <v>135</v>
      </c>
      <c r="E46" s="45" t="s">
        <v>135</v>
      </c>
      <c r="F46" s="37"/>
    </row>
    <row r="47" spans="1:6" x14ac:dyDescent="0.2">
      <c r="A47" s="37"/>
      <c r="B47" s="38" t="s">
        <v>136</v>
      </c>
      <c r="C47" s="44" t="s">
        <v>137</v>
      </c>
      <c r="D47" s="45" t="s">
        <v>138</v>
      </c>
      <c r="E47" s="45" t="s">
        <v>139</v>
      </c>
      <c r="F47" s="37"/>
    </row>
    <row r="48" spans="1:6" x14ac:dyDescent="0.2">
      <c r="A48" s="37"/>
      <c r="B48" s="38" t="s">
        <v>140</v>
      </c>
      <c r="C48" s="44" t="s">
        <v>141</v>
      </c>
      <c r="D48" s="45" t="s">
        <v>142</v>
      </c>
      <c r="E48" s="45" t="s">
        <v>142</v>
      </c>
      <c r="F48" s="37"/>
    </row>
    <row r="49" spans="1:6" x14ac:dyDescent="0.2">
      <c r="A49" s="37"/>
      <c r="B49" s="37"/>
      <c r="C49" s="43"/>
      <c r="D49" s="43"/>
      <c r="E49" s="43"/>
      <c r="F49" s="37"/>
    </row>
    <row r="50" spans="1:6" ht="25.5" x14ac:dyDescent="0.2">
      <c r="A50" s="39" t="s">
        <v>11</v>
      </c>
      <c r="B50" s="38" t="s">
        <v>143</v>
      </c>
      <c r="C50" s="42" t="s">
        <v>144</v>
      </c>
      <c r="D50" s="42" t="s">
        <v>145</v>
      </c>
      <c r="E50" s="42" t="s">
        <v>146</v>
      </c>
      <c r="F50" s="43"/>
    </row>
    <row r="51" spans="1:6" ht="38.25" x14ac:dyDescent="0.2">
      <c r="A51" s="37"/>
      <c r="B51" s="38" t="s">
        <v>147</v>
      </c>
      <c r="C51" s="42" t="s">
        <v>148</v>
      </c>
      <c r="D51" s="42" t="s">
        <v>149</v>
      </c>
      <c r="E51" s="42" t="s">
        <v>150</v>
      </c>
      <c r="F51" s="43"/>
    </row>
    <row r="52" spans="1:6" ht="51" x14ac:dyDescent="0.2">
      <c r="A52" s="37"/>
      <c r="B52" s="38" t="s">
        <v>151</v>
      </c>
      <c r="C52" s="42" t="s">
        <v>152</v>
      </c>
      <c r="D52" s="42" t="s">
        <v>153</v>
      </c>
      <c r="E52" s="42" t="s">
        <v>154</v>
      </c>
      <c r="F52" s="43"/>
    </row>
    <row r="53" spans="1:6" ht="38.25" x14ac:dyDescent="0.2">
      <c r="A53" s="37"/>
      <c r="B53" s="38" t="s">
        <v>155</v>
      </c>
      <c r="C53" s="42" t="s">
        <v>156</v>
      </c>
      <c r="D53" s="42" t="s">
        <v>157</v>
      </c>
      <c r="E53" s="42" t="s">
        <v>158</v>
      </c>
      <c r="F53" s="43"/>
    </row>
    <row r="54" spans="1:6" x14ac:dyDescent="0.2">
      <c r="A54" s="37"/>
      <c r="B54" s="38" t="s">
        <v>159</v>
      </c>
      <c r="F54" s="43"/>
    </row>
    <row r="55" spans="1:6" x14ac:dyDescent="0.2">
      <c r="A55" s="37"/>
      <c r="B55" s="37"/>
      <c r="C55" s="43"/>
      <c r="D55" s="43"/>
      <c r="E55" s="43"/>
      <c r="F55" s="37"/>
    </row>
    <row r="56" spans="1:6" x14ac:dyDescent="0.2">
      <c r="A56" s="37"/>
      <c r="B56" s="38" t="s">
        <v>160</v>
      </c>
      <c r="C56" s="42" t="s">
        <v>161</v>
      </c>
      <c r="D56" s="42" t="s">
        <v>162</v>
      </c>
      <c r="E56" s="42" t="s">
        <v>163</v>
      </c>
      <c r="F56" s="37"/>
    </row>
    <row r="57" spans="1:6" x14ac:dyDescent="0.2">
      <c r="A57" s="37" t="s">
        <v>45</v>
      </c>
      <c r="B57" s="46" t="s">
        <v>164</v>
      </c>
      <c r="C57" s="47" t="s">
        <v>327</v>
      </c>
      <c r="D57" s="47" t="s">
        <v>328</v>
      </c>
      <c r="E57" s="47" t="s">
        <v>329</v>
      </c>
      <c r="F57" s="37"/>
    </row>
    <row r="58" spans="1:6" x14ac:dyDescent="0.2">
      <c r="A58" s="37"/>
      <c r="B58" s="37"/>
      <c r="C58" s="43"/>
      <c r="D58" s="43"/>
      <c r="E58" s="43"/>
      <c r="F58" s="37"/>
    </row>
    <row r="59" spans="1:6" x14ac:dyDescent="0.2">
      <c r="A59" s="39"/>
      <c r="B59" s="40"/>
      <c r="C59" s="41"/>
      <c r="D59" s="41"/>
      <c r="E59" s="41"/>
      <c r="F59" s="37"/>
    </row>
    <row r="60" spans="1:6" x14ac:dyDescent="0.2">
      <c r="A60" s="37" t="s">
        <v>165</v>
      </c>
      <c r="B60" s="38" t="s">
        <v>275</v>
      </c>
      <c r="C60" s="42" t="s">
        <v>274</v>
      </c>
      <c r="D60" s="42" t="s">
        <v>323</v>
      </c>
      <c r="E60" s="42" t="s">
        <v>324</v>
      </c>
      <c r="F60" s="37"/>
    </row>
    <row r="61" spans="1:6" x14ac:dyDescent="0.2">
      <c r="A61" s="39"/>
      <c r="B61" s="40"/>
      <c r="C61" s="41"/>
      <c r="D61" s="41"/>
      <c r="E61" s="41"/>
      <c r="F61" s="37"/>
    </row>
    <row r="62" spans="1:6" x14ac:dyDescent="0.2">
      <c r="A62" s="39" t="s">
        <v>165</v>
      </c>
      <c r="B62" s="38" t="s">
        <v>166</v>
      </c>
      <c r="C62" s="42" t="s">
        <v>15</v>
      </c>
      <c r="D62" s="42" t="s">
        <v>15</v>
      </c>
      <c r="E62" s="42" t="s">
        <v>16</v>
      </c>
      <c r="F62" s="37"/>
    </row>
    <row r="63" spans="1:6" x14ac:dyDescent="0.2">
      <c r="A63" s="37"/>
      <c r="B63" s="38" t="s">
        <v>167</v>
      </c>
      <c r="C63" s="42" t="s">
        <v>168</v>
      </c>
      <c r="D63" s="42" t="s">
        <v>169</v>
      </c>
      <c r="E63" s="42" t="s">
        <v>170</v>
      </c>
      <c r="F63" s="37"/>
    </row>
    <row r="64" spans="1:6" x14ac:dyDescent="0.2">
      <c r="A64" s="37"/>
      <c r="B64" s="38" t="s">
        <v>171</v>
      </c>
      <c r="C64" s="42" t="s">
        <v>172</v>
      </c>
      <c r="D64" s="48" t="s">
        <v>173</v>
      </c>
      <c r="E64" s="42" t="s">
        <v>174</v>
      </c>
      <c r="F64" s="37"/>
    </row>
    <row r="65" spans="1:6" x14ac:dyDescent="0.2">
      <c r="A65" s="37"/>
      <c r="B65" s="38" t="s">
        <v>175</v>
      </c>
      <c r="C65" s="42" t="s">
        <v>176</v>
      </c>
      <c r="D65" s="42" t="s">
        <v>177</v>
      </c>
      <c r="E65" s="42" t="s">
        <v>291</v>
      </c>
      <c r="F65" s="37"/>
    </row>
    <row r="66" spans="1:6" x14ac:dyDescent="0.2">
      <c r="A66" s="37"/>
      <c r="B66" s="38" t="s">
        <v>178</v>
      </c>
      <c r="C66" s="42" t="s">
        <v>179</v>
      </c>
      <c r="D66" s="42" t="s">
        <v>180</v>
      </c>
      <c r="E66" s="42" t="s">
        <v>292</v>
      </c>
      <c r="F66" s="37"/>
    </row>
    <row r="67" spans="1:6" x14ac:dyDescent="0.2">
      <c r="A67" s="37"/>
      <c r="B67" s="38" t="s">
        <v>181</v>
      </c>
      <c r="C67" s="42" t="s">
        <v>182</v>
      </c>
      <c r="D67" s="42" t="s">
        <v>183</v>
      </c>
      <c r="E67" s="42" t="s">
        <v>293</v>
      </c>
      <c r="F67" s="37"/>
    </row>
    <row r="68" spans="1:6" x14ac:dyDescent="0.2">
      <c r="A68" s="37"/>
      <c r="B68" s="38" t="s">
        <v>184</v>
      </c>
      <c r="C68" s="42" t="s">
        <v>185</v>
      </c>
      <c r="D68" s="42" t="s">
        <v>186</v>
      </c>
      <c r="E68" s="42" t="s">
        <v>294</v>
      </c>
      <c r="F68" s="37"/>
    </row>
    <row r="69" spans="1:6" x14ac:dyDescent="0.2">
      <c r="A69" s="39"/>
      <c r="B69" s="40"/>
      <c r="C69" s="41"/>
      <c r="D69" s="41"/>
      <c r="E69" s="41"/>
      <c r="F69" s="37"/>
    </row>
    <row r="70" spans="1:6" x14ac:dyDescent="0.2">
      <c r="A70" s="37"/>
      <c r="B70" s="38" t="s">
        <v>187</v>
      </c>
      <c r="C70" s="42" t="s">
        <v>188</v>
      </c>
      <c r="D70" s="42" t="s">
        <v>189</v>
      </c>
      <c r="E70" s="42" t="s">
        <v>295</v>
      </c>
      <c r="F70" s="37"/>
    </row>
    <row r="71" spans="1:6" x14ac:dyDescent="0.2">
      <c r="A71" s="37"/>
      <c r="B71" s="38" t="s">
        <v>190</v>
      </c>
      <c r="C71" s="42" t="s">
        <v>191</v>
      </c>
      <c r="D71" s="42" t="s">
        <v>192</v>
      </c>
      <c r="E71" s="42" t="s">
        <v>296</v>
      </c>
      <c r="F71" s="37"/>
    </row>
    <row r="72" spans="1:6" x14ac:dyDescent="0.2">
      <c r="A72" s="37"/>
      <c r="B72" s="38" t="s">
        <v>193</v>
      </c>
      <c r="C72" s="44" t="s">
        <v>194</v>
      </c>
      <c r="D72" s="42" t="s">
        <v>194</v>
      </c>
      <c r="E72" s="42" t="s">
        <v>194</v>
      </c>
      <c r="F72" s="37"/>
    </row>
    <row r="73" spans="1:6" x14ac:dyDescent="0.2">
      <c r="A73" s="37"/>
      <c r="B73" s="38" t="s">
        <v>195</v>
      </c>
      <c r="C73" s="42" t="s">
        <v>196</v>
      </c>
      <c r="D73" s="42" t="s">
        <v>196</v>
      </c>
      <c r="E73" s="42" t="s">
        <v>196</v>
      </c>
      <c r="F73" s="37"/>
    </row>
    <row r="74" spans="1:6" x14ac:dyDescent="0.2">
      <c r="A74" s="37"/>
      <c r="B74" s="38" t="s">
        <v>197</v>
      </c>
      <c r="C74" s="42" t="s">
        <v>198</v>
      </c>
      <c r="D74" s="42" t="s">
        <v>198</v>
      </c>
      <c r="E74" s="42" t="s">
        <v>198</v>
      </c>
      <c r="F74" s="37"/>
    </row>
    <row r="75" spans="1:6" x14ac:dyDescent="0.2">
      <c r="A75" s="37"/>
      <c r="B75" s="38" t="s">
        <v>199</v>
      </c>
      <c r="C75" s="42" t="s">
        <v>200</v>
      </c>
      <c r="D75" s="42" t="s">
        <v>201</v>
      </c>
      <c r="E75" s="42" t="s">
        <v>297</v>
      </c>
      <c r="F75" s="37"/>
    </row>
    <row r="76" spans="1:6" x14ac:dyDescent="0.2">
      <c r="A76" s="37"/>
      <c r="B76" s="38" t="s">
        <v>202</v>
      </c>
      <c r="C76" s="44" t="s">
        <v>203</v>
      </c>
      <c r="D76" s="42" t="s">
        <v>204</v>
      </c>
      <c r="E76" s="42" t="s">
        <v>298</v>
      </c>
      <c r="F76" s="37"/>
    </row>
    <row r="77" spans="1:6" x14ac:dyDescent="0.2">
      <c r="A77" s="37"/>
      <c r="B77" s="38" t="s">
        <v>205</v>
      </c>
      <c r="C77" s="44" t="s">
        <v>325</v>
      </c>
      <c r="D77" s="42" t="s">
        <v>326</v>
      </c>
      <c r="E77" s="42" t="s">
        <v>299</v>
      </c>
      <c r="F77" s="37"/>
    </row>
    <row r="78" spans="1:6" x14ac:dyDescent="0.2">
      <c r="A78" s="37"/>
      <c r="B78" s="38" t="s">
        <v>206</v>
      </c>
      <c r="C78" s="44" t="s">
        <v>207</v>
      </c>
      <c r="D78" s="42" t="s">
        <v>208</v>
      </c>
      <c r="E78" s="42" t="s">
        <v>300</v>
      </c>
      <c r="F78" s="37"/>
    </row>
    <row r="79" spans="1:6" x14ac:dyDescent="0.2">
      <c r="A79" s="37"/>
      <c r="B79" s="38" t="s">
        <v>209</v>
      </c>
      <c r="C79" s="44" t="s">
        <v>210</v>
      </c>
      <c r="D79" s="42" t="s">
        <v>211</v>
      </c>
      <c r="E79" s="42" t="s">
        <v>301</v>
      </c>
      <c r="F79" s="37"/>
    </row>
    <row r="80" spans="1:6" x14ac:dyDescent="0.2">
      <c r="A80" s="37"/>
      <c r="B80" s="38" t="s">
        <v>212</v>
      </c>
      <c r="C80" s="44" t="s">
        <v>213</v>
      </c>
      <c r="D80" s="42" t="s">
        <v>214</v>
      </c>
      <c r="E80" s="42" t="s">
        <v>302</v>
      </c>
      <c r="F80" s="37"/>
    </row>
    <row r="81" spans="1:6" x14ac:dyDescent="0.2">
      <c r="A81" s="37"/>
      <c r="B81" s="38" t="s">
        <v>215</v>
      </c>
      <c r="C81" s="44" t="s">
        <v>216</v>
      </c>
      <c r="D81" s="42" t="s">
        <v>217</v>
      </c>
      <c r="E81" s="42" t="s">
        <v>303</v>
      </c>
      <c r="F81" s="37"/>
    </row>
    <row r="82" spans="1:6" x14ac:dyDescent="0.2">
      <c r="A82" s="37"/>
      <c r="B82" s="38" t="s">
        <v>218</v>
      </c>
      <c r="C82" s="44" t="s">
        <v>219</v>
      </c>
      <c r="D82" s="42" t="s">
        <v>220</v>
      </c>
      <c r="E82" s="42" t="s">
        <v>304</v>
      </c>
      <c r="F82" s="37"/>
    </row>
    <row r="83" spans="1:6" x14ac:dyDescent="0.2">
      <c r="A83" s="37"/>
      <c r="B83" s="38" t="s">
        <v>221</v>
      </c>
      <c r="C83" s="44" t="s">
        <v>222</v>
      </c>
      <c r="D83" s="42" t="s">
        <v>223</v>
      </c>
      <c r="E83" s="42" t="s">
        <v>305</v>
      </c>
      <c r="F83" s="37"/>
    </row>
    <row r="84" spans="1:6" x14ac:dyDescent="0.2">
      <c r="A84" s="37"/>
      <c r="B84" s="38" t="s">
        <v>224</v>
      </c>
      <c r="C84" s="44" t="s">
        <v>225</v>
      </c>
      <c r="D84" s="42" t="s">
        <v>226</v>
      </c>
      <c r="E84" s="42" t="s">
        <v>306</v>
      </c>
      <c r="F84" s="37"/>
    </row>
    <row r="85" spans="1:6" x14ac:dyDescent="0.2">
      <c r="A85" s="37"/>
      <c r="B85" s="38" t="s">
        <v>227</v>
      </c>
      <c r="C85" s="44" t="s">
        <v>228</v>
      </c>
      <c r="D85" s="42" t="s">
        <v>229</v>
      </c>
      <c r="E85" s="42" t="s">
        <v>307</v>
      </c>
      <c r="F85" s="37"/>
    </row>
    <row r="86" spans="1:6" x14ac:dyDescent="0.2">
      <c r="A86" s="37"/>
      <c r="B86" s="38" t="s">
        <v>230</v>
      </c>
      <c r="C86" s="44" t="s">
        <v>231</v>
      </c>
      <c r="D86" s="42" t="s">
        <v>232</v>
      </c>
      <c r="E86" s="42" t="s">
        <v>308</v>
      </c>
      <c r="F86" s="37"/>
    </row>
    <row r="87" spans="1:6" x14ac:dyDescent="0.2">
      <c r="A87" s="37"/>
      <c r="B87" s="38" t="s">
        <v>233</v>
      </c>
      <c r="C87" s="44" t="s">
        <v>234</v>
      </c>
      <c r="D87" s="42" t="s">
        <v>235</v>
      </c>
      <c r="E87" s="42" t="s">
        <v>309</v>
      </c>
      <c r="F87" s="37"/>
    </row>
    <row r="88" spans="1:6" x14ac:dyDescent="0.2">
      <c r="A88" s="37"/>
      <c r="B88" s="38" t="s">
        <v>236</v>
      </c>
      <c r="C88" s="44" t="s">
        <v>237</v>
      </c>
      <c r="D88" s="42" t="s">
        <v>238</v>
      </c>
      <c r="E88" s="42" t="s">
        <v>310</v>
      </c>
      <c r="F88" s="37"/>
    </row>
    <row r="89" spans="1:6" x14ac:dyDescent="0.2">
      <c r="A89" s="37"/>
      <c r="B89" s="38" t="s">
        <v>239</v>
      </c>
      <c r="C89" s="44" t="s">
        <v>240</v>
      </c>
      <c r="D89" s="42" t="s">
        <v>241</v>
      </c>
      <c r="E89" s="42" t="s">
        <v>311</v>
      </c>
      <c r="F89" s="37"/>
    </row>
    <row r="90" spans="1:6" x14ac:dyDescent="0.2">
      <c r="A90" s="37"/>
      <c r="B90" s="38" t="s">
        <v>242</v>
      </c>
      <c r="C90" s="44" t="s">
        <v>243</v>
      </c>
      <c r="D90" s="42" t="s">
        <v>244</v>
      </c>
      <c r="E90" s="42" t="s">
        <v>312</v>
      </c>
      <c r="F90" s="37"/>
    </row>
    <row r="91" spans="1:6" x14ac:dyDescent="0.2">
      <c r="A91" s="37"/>
      <c r="B91" s="38" t="s">
        <v>245</v>
      </c>
      <c r="C91" s="44" t="s">
        <v>246</v>
      </c>
      <c r="D91" s="42" t="s">
        <v>247</v>
      </c>
      <c r="E91" s="42" t="s">
        <v>313</v>
      </c>
      <c r="F91" s="37"/>
    </row>
    <row r="92" spans="1:6" x14ac:dyDescent="0.2">
      <c r="A92" s="37"/>
      <c r="B92" s="38" t="s">
        <v>248</v>
      </c>
      <c r="C92" s="44" t="s">
        <v>249</v>
      </c>
      <c r="D92" s="42" t="s">
        <v>250</v>
      </c>
      <c r="E92" s="42" t="s">
        <v>314</v>
      </c>
      <c r="F92" s="37"/>
    </row>
    <row r="93" spans="1:6" x14ac:dyDescent="0.2">
      <c r="A93" s="37"/>
      <c r="B93" s="38" t="s">
        <v>251</v>
      </c>
      <c r="C93" s="44" t="s">
        <v>252</v>
      </c>
      <c r="D93" s="42" t="s">
        <v>253</v>
      </c>
      <c r="E93" s="42" t="s">
        <v>315</v>
      </c>
      <c r="F93" s="37"/>
    </row>
    <row r="94" spans="1:6" ht="25.5" x14ac:dyDescent="0.2">
      <c r="A94" s="37"/>
      <c r="B94" s="38" t="s">
        <v>254</v>
      </c>
      <c r="C94" s="44" t="s">
        <v>255</v>
      </c>
      <c r="D94" s="42" t="s">
        <v>256</v>
      </c>
      <c r="E94" s="42" t="s">
        <v>316</v>
      </c>
      <c r="F94" s="37"/>
    </row>
    <row r="95" spans="1:6" ht="38.25" x14ac:dyDescent="0.2">
      <c r="A95" s="37"/>
      <c r="B95" s="38" t="s">
        <v>257</v>
      </c>
      <c r="C95" s="44" t="s">
        <v>258</v>
      </c>
      <c r="D95" s="42" t="s">
        <v>259</v>
      </c>
      <c r="E95" s="42" t="s">
        <v>317</v>
      </c>
      <c r="F95" s="37"/>
    </row>
    <row r="96" spans="1:6" ht="25.5" x14ac:dyDescent="0.2">
      <c r="A96" s="37"/>
      <c r="B96" s="38" t="s">
        <v>260</v>
      </c>
      <c r="C96" s="44" t="s">
        <v>261</v>
      </c>
      <c r="D96" s="42" t="s">
        <v>262</v>
      </c>
      <c r="E96" s="42" t="s">
        <v>318</v>
      </c>
      <c r="F96" s="37"/>
    </row>
    <row r="97" spans="1:6" x14ac:dyDescent="0.2">
      <c r="A97" s="37"/>
      <c r="B97" s="38" t="s">
        <v>263</v>
      </c>
      <c r="C97" s="44" t="s">
        <v>264</v>
      </c>
      <c r="D97" s="42" t="s">
        <v>265</v>
      </c>
      <c r="E97" s="42" t="s">
        <v>319</v>
      </c>
      <c r="F97" s="37"/>
    </row>
    <row r="98" spans="1:6" x14ac:dyDescent="0.2">
      <c r="A98" s="37"/>
      <c r="B98" s="38" t="s">
        <v>266</v>
      </c>
      <c r="C98" s="44" t="s">
        <v>267</v>
      </c>
      <c r="D98" s="42" t="s">
        <v>268</v>
      </c>
      <c r="E98" s="42" t="s">
        <v>320</v>
      </c>
      <c r="F98" s="37"/>
    </row>
    <row r="99" spans="1:6" x14ac:dyDescent="0.2">
      <c r="A99" s="37"/>
      <c r="B99" s="38" t="s">
        <v>269</v>
      </c>
      <c r="C99" s="44" t="s">
        <v>270</v>
      </c>
      <c r="D99" s="42" t="s">
        <v>271</v>
      </c>
      <c r="E99" s="42" t="s">
        <v>321</v>
      </c>
      <c r="F99" s="37"/>
    </row>
    <row r="100" spans="1:6" x14ac:dyDescent="0.2">
      <c r="A100" s="37"/>
      <c r="B100" s="37"/>
      <c r="C100" s="43"/>
      <c r="D100" s="43"/>
      <c r="E100" s="37"/>
      <c r="F100" s="37"/>
    </row>
    <row r="101" spans="1:6" x14ac:dyDescent="0.2">
      <c r="A101" s="37" t="s">
        <v>165</v>
      </c>
      <c r="B101" s="46" t="s">
        <v>272</v>
      </c>
      <c r="C101" s="47" t="s">
        <v>327</v>
      </c>
      <c r="D101" s="47" t="s">
        <v>328</v>
      </c>
      <c r="E101" s="47" t="s">
        <v>329</v>
      </c>
      <c r="F101" s="37"/>
    </row>
    <row r="102" spans="1:6" x14ac:dyDescent="0.2">
      <c r="A102" s="37"/>
      <c r="B102" s="37"/>
      <c r="C102" s="43"/>
      <c r="D102" s="43"/>
      <c r="E102" s="37"/>
      <c r="F102" s="37"/>
    </row>
    <row r="103" spans="1:6" x14ac:dyDescent="0.2">
      <c r="C103" s="38"/>
      <c r="D103" s="38"/>
      <c r="E103" s="38"/>
    </row>
    <row r="104" spans="1:6" x14ac:dyDescent="0.2">
      <c r="B104" s="42"/>
      <c r="E104" s="3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1004</Benutzerdefinierte_x0020_ID>
    <Titel_IT xmlns="e8a48d95-b6dc-46ea-8dee-11ddfc24d8d8">Condizione professionale nei Grigioni e in Svizzera, 2024</Titel_IT>
    <Titel_RM xmlns="e8a48d95-b6dc-46ea-8dee-11ddfc24d8d8">Status dal gudogn en il Grischun ed en Svizra, 2024</Titel_RM>
    <Titel_DE xmlns="e8a48d95-b6dc-46ea-8dee-11ddfc24d8d8">Erwerbsstatus Graubünden und Schweiz, 2024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5DD00F-0C62-4044-BA6E-2284E142A65C}"/>
</file>

<file path=customXml/itemProps2.xml><?xml version="1.0" encoding="utf-8"?>
<ds:datastoreItem xmlns:ds="http://schemas.openxmlformats.org/officeDocument/2006/customXml" ds:itemID="{6E54580E-5E5A-4576-A07C-C3304936CACA}"/>
</file>

<file path=customXml/itemProps3.xml><?xml version="1.0" encoding="utf-8"?>
<ds:datastoreItem xmlns:ds="http://schemas.openxmlformats.org/officeDocument/2006/customXml" ds:itemID="{D33AF98D-A513-43F2-9B56-91F262138A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Schweiz</vt:lpstr>
      <vt:lpstr>Graubünden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Erwerbsstatus Graubünden und Schweiz</dc:title>
  <dc:subject/>
  <dc:creator>Luzius.Stricker@awt.gr.ch</dc:creator>
  <cp:keywords/>
  <dc:description/>
  <cp:lastModifiedBy>Monstein Urs (AWT GR)</cp:lastModifiedBy>
  <cp:revision/>
  <dcterms:created xsi:type="dcterms:W3CDTF">2017-05-04T09:10:20Z</dcterms:created>
  <dcterms:modified xsi:type="dcterms:W3CDTF">2026-01-28T08:57:52Z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2026-01-20T08:33:10Z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274d4431-e6d6-4420-ac27-3a7f59a25d16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0x01010028D26AD4D433F842B31B8F2E11C3D7DD</vt:lpwstr>
  </property>
</Properties>
</file>